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ialogsheets/sheet1.xml" ContentType="application/vnd.openxmlformats-officedocument.spreadsheetml.dialog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Users\hadong\Downloads\"/>
    </mc:Choice>
  </mc:AlternateContent>
  <xr:revisionPtr revIDLastSave="0" documentId="13_ncr:1_{E573B379-9981-47CE-A883-803C128CFE4D}" xr6:coauthVersionLast="47" xr6:coauthVersionMax="47" xr10:uidLastSave="{00000000-0000-0000-0000-000000000000}"/>
  <bookViews>
    <workbookView xWindow="-120" yWindow="-120" windowWidth="29040" windowHeight="17520" tabRatio="790" activeTab="1" xr2:uid="{D4004BD1-31EA-48C7-AC12-87E3EFDB2514}"/>
  </bookViews>
  <sheets>
    <sheet name="Preschedule" sheetId="5" r:id="rId1"/>
    <sheet name="Deals" sheetId="6" r:id="rId2"/>
    <sheet name="Fuel" sheetId="4" r:id="rId3"/>
    <sheet name="Economics" sheetId="2" r:id="rId4"/>
    <sheet name="Balancing" sheetId="1" r:id="rId5"/>
    <sheet name="spin reserve log sheet" sheetId="12" r:id="rId6"/>
    <sheet name="Code" sheetId="7" state="veryHidden" r:id="rId7"/>
    <sheet name="Unit Summary" sheetId="8" r:id="rId8"/>
    <sheet name="HeatRate" sheetId="9" r:id="rId9"/>
    <sheet name="Top" sheetId="13" r:id="rId10"/>
    <sheet name="EPEData" sheetId="127" r:id="rId11"/>
    <sheet name="Sheet1" sheetId="128" r:id="rId12"/>
    <sheet name="dlgAddRows" sheetId="10" state="hidden" r:id="rId13"/>
    <sheet name="Module1" sheetId="29" state="veryHidden" r:id="rId14"/>
  </sheets>
  <definedNames>
    <definedName name="CBalancingVol">Balancing!$J$3</definedName>
    <definedName name="cCols">COUNTA(#REF!)</definedName>
    <definedName name="CISOBegDate">Deals!$D$136</definedName>
    <definedName name="CISOEndDate">Deals!$D$137</definedName>
    <definedName name="cRows">COUNTA(#REF!)</definedName>
    <definedName name="CurrDate">#REF!</definedName>
    <definedName name="DataAll">Deals!$A$2:$AF$269</definedName>
    <definedName name="DelPoint">Deals!$C$2:EndofDPoint</definedName>
    <definedName name="Dformulas">Deals!$AD$3</definedName>
    <definedName name="DFormulaTitles">Deals!$AD$2:$AF$2</definedName>
    <definedName name="DPrice">Deals!$D$2:$D$72</definedName>
    <definedName name="DType">Deals!$B$2:EndofDType</definedName>
    <definedName name="EndDt" localSheetId="9">Top!$E$5</definedName>
    <definedName name="EndofDPoint">Deals!$C$135</definedName>
    <definedName name="EndofDType">Deals!$B$135</definedName>
    <definedName name="fhydro">#REF!</definedName>
    <definedName name="fStart">#REF!</definedName>
    <definedName name="fstartPX">#REF!</definedName>
    <definedName name="FuelNames" localSheetId="2">Fuel!$B$12:$B$29</definedName>
    <definedName name="FuelNames">Fuel!$B$7:$B$29</definedName>
    <definedName name="FuelPriceTable" localSheetId="2">Fuel!$B$12:$G$29</definedName>
    <definedName name="FuelPriceTable">Fuel!$B$7:$G$29</definedName>
    <definedName name="HeatRateNames">HeatRate!$A$2:$M$2</definedName>
    <definedName name="HeatRateStart">HeatRate!$A$3</definedName>
    <definedName name="Oracle_DB">#REF!</definedName>
    <definedName name="_xlnm.Print_Area" localSheetId="4">Balancing!$A$1:$D$31</definedName>
    <definedName name="_xlnm.Print_Area" localSheetId="1">Deals!$A$1:$AF$147</definedName>
    <definedName name="PriorDate">#REF!</definedName>
    <definedName name="PVBalancingVol">Balancing!$B$3</definedName>
    <definedName name="SPSBalancingVol">Balancing!$F$3</definedName>
    <definedName name="StartDt">Top!$E$4</definedName>
    <definedName name="TotHydro" localSheetId="9">OFFSET([0]!fhydro,0,0,[0]!cRows,[0]!cCols)</definedName>
    <definedName name="URL">#REF!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2" i="6" l="1"/>
  <c r="G143" i="6"/>
  <c r="F156" i="6"/>
  <c r="F146" i="6"/>
  <c r="D4" i="1"/>
  <c r="H4" i="1"/>
  <c r="L4" i="1"/>
  <c r="Q4" i="1"/>
  <c r="D5" i="1"/>
  <c r="H5" i="1"/>
  <c r="L5" i="1"/>
  <c r="Q5" i="1"/>
  <c r="D6" i="1"/>
  <c r="H6" i="1"/>
  <c r="L6" i="1"/>
  <c r="Q6" i="1"/>
  <c r="D7" i="1"/>
  <c r="H7" i="1"/>
  <c r="L7" i="1"/>
  <c r="Q7" i="1"/>
  <c r="D8" i="1"/>
  <c r="H8" i="1"/>
  <c r="L8" i="1"/>
  <c r="Q8" i="1"/>
  <c r="D9" i="1"/>
  <c r="H9" i="1"/>
  <c r="L9" i="1"/>
  <c r="Q9" i="1"/>
  <c r="D10" i="1"/>
  <c r="H10" i="1"/>
  <c r="L10" i="1"/>
  <c r="Q10" i="1"/>
  <c r="D11" i="1"/>
  <c r="H11" i="1"/>
  <c r="L11" i="1"/>
  <c r="Q11" i="1"/>
  <c r="H12" i="1"/>
  <c r="L12" i="1"/>
  <c r="Q12" i="1"/>
  <c r="H13" i="1"/>
  <c r="L13" i="1"/>
  <c r="Q13" i="1"/>
  <c r="H14" i="1"/>
  <c r="L14" i="1"/>
  <c r="Q14" i="1"/>
  <c r="H15" i="1"/>
  <c r="L15" i="1"/>
  <c r="Q15" i="1"/>
  <c r="H16" i="1"/>
  <c r="L16" i="1"/>
  <c r="Q16" i="1"/>
  <c r="H17" i="1"/>
  <c r="L17" i="1"/>
  <c r="Q17" i="1"/>
  <c r="H18" i="1"/>
  <c r="L18" i="1"/>
  <c r="Q18" i="1"/>
  <c r="H19" i="1"/>
  <c r="L19" i="1"/>
  <c r="Q19" i="1"/>
  <c r="H20" i="1"/>
  <c r="L20" i="1"/>
  <c r="Q20" i="1"/>
  <c r="H21" i="1"/>
  <c r="L21" i="1"/>
  <c r="Q21" i="1"/>
  <c r="H22" i="1"/>
  <c r="L22" i="1"/>
  <c r="Q22" i="1"/>
  <c r="H23" i="1"/>
  <c r="L23" i="1"/>
  <c r="Q23" i="1"/>
  <c r="H24" i="1"/>
  <c r="L24" i="1"/>
  <c r="Q24" i="1"/>
  <c r="H25" i="1"/>
  <c r="L25" i="1"/>
  <c r="Q25" i="1"/>
  <c r="H26" i="1"/>
  <c r="L26" i="1"/>
  <c r="Q26" i="1"/>
  <c r="H27" i="1"/>
  <c r="L27" i="1"/>
  <c r="Q27" i="1"/>
  <c r="B29" i="1"/>
  <c r="D29" i="1"/>
  <c r="F29" i="1"/>
  <c r="H29" i="1"/>
  <c r="J29" i="1"/>
  <c r="L29" i="1"/>
  <c r="B30" i="1"/>
  <c r="D30" i="1"/>
  <c r="F30" i="1"/>
  <c r="H30" i="1"/>
  <c r="J30" i="1"/>
  <c r="L30" i="1"/>
  <c r="B31" i="1"/>
  <c r="D31" i="1"/>
  <c r="F31" i="1"/>
  <c r="H31" i="1"/>
  <c r="J31" i="1"/>
  <c r="L31" i="1"/>
  <c r="B5" i="2" a="1"/>
  <c r="B5" i="2" s="1"/>
  <c r="D5" i="2" s="1"/>
  <c r="B6" i="2"/>
  <c r="D6" i="2" s="1"/>
  <c r="B7" i="2" a="1"/>
  <c r="B7" i="2" s="1"/>
  <c r="D7" i="2" s="1"/>
  <c r="B8" i="2" a="1"/>
  <c r="B8" i="2" s="1"/>
  <c r="D8" i="2" s="1"/>
  <c r="B9" i="2"/>
  <c r="D9" i="2"/>
  <c r="E9" i="2"/>
  <c r="B10" i="2" a="1"/>
  <c r="B10" i="2" s="1"/>
  <c r="D10" i="2" s="1"/>
  <c r="B11" i="2" a="1"/>
  <c r="B11" i="2" s="1"/>
  <c r="D11" i="2" s="1"/>
  <c r="E11" i="2"/>
  <c r="B12" i="2"/>
  <c r="D12" i="2" s="1"/>
  <c r="E12" i="2"/>
  <c r="B13" i="2" a="1"/>
  <c r="B13" i="2" s="1"/>
  <c r="D13" i="2" s="1"/>
  <c r="B17" i="2" a="1"/>
  <c r="B17" i="2" s="1"/>
  <c r="D17" i="2" s="1"/>
  <c r="E17" i="2"/>
  <c r="B18" i="2"/>
  <c r="D18" i="2"/>
  <c r="B19" i="2" a="1"/>
  <c r="B19" i="2" s="1"/>
  <c r="D19" i="2" s="1"/>
  <c r="B20" i="2" a="1"/>
  <c r="B20" i="2" s="1"/>
  <c r="D20" i="2" s="1"/>
  <c r="B21" i="2"/>
  <c r="D21" i="2"/>
  <c r="B22" i="2" a="1"/>
  <c r="B22" i="2" s="1"/>
  <c r="D22" i="2" s="1"/>
  <c r="B23" i="2" a="1"/>
  <c r="B23" i="2" s="1"/>
  <c r="D23" i="2" s="1"/>
  <c r="B24" i="2"/>
  <c r="D24" i="2"/>
  <c r="B25" i="2" a="1"/>
  <c r="B25" i="2" s="1"/>
  <c r="D25" i="2" s="1"/>
  <c r="E28" i="2"/>
  <c r="F28" i="2"/>
  <c r="E29" i="2"/>
  <c r="F29" i="2"/>
  <c r="G29" i="2"/>
  <c r="E30" i="2"/>
  <c r="F30" i="2"/>
  <c r="E31" i="2"/>
  <c r="F31" i="2"/>
  <c r="E32" i="2"/>
  <c r="F32" i="2"/>
  <c r="B34" i="2"/>
  <c r="E34" i="2"/>
  <c r="I34" i="2"/>
  <c r="A105" i="5" s="1"/>
  <c r="B35" i="2"/>
  <c r="E35" i="2"/>
  <c r="I35" i="2"/>
  <c r="A110" i="5" s="1"/>
  <c r="B36" i="2"/>
  <c r="E36" i="2"/>
  <c r="I36" i="2"/>
  <c r="A115" i="5" s="1"/>
  <c r="B37" i="2"/>
  <c r="E37" i="2"/>
  <c r="B38" i="2"/>
  <c r="E38" i="2"/>
  <c r="B39" i="2"/>
  <c r="E39" i="2"/>
  <c r="G39" i="2"/>
  <c r="B40" i="2"/>
  <c r="E40" i="2"/>
  <c r="G40" i="2"/>
  <c r="B41" i="2"/>
  <c r="E41" i="2"/>
  <c r="B42" i="2"/>
  <c r="E42" i="2"/>
  <c r="B43" i="2"/>
  <c r="E43" i="2"/>
  <c r="B44" i="2"/>
  <c r="E44" i="2"/>
  <c r="B45" i="2"/>
  <c r="E45" i="2"/>
  <c r="G45" i="2"/>
  <c r="C47" i="2"/>
  <c r="C1" i="4"/>
  <c r="C2" i="4"/>
  <c r="C3" i="4"/>
  <c r="C7" i="4"/>
  <c r="G7" i="4"/>
  <c r="C8" i="4"/>
  <c r="F12" i="4"/>
  <c r="F13" i="4"/>
  <c r="F14" i="4"/>
  <c r="F18" i="4"/>
  <c r="I22" i="4"/>
  <c r="F22" i="4" s="1"/>
  <c r="J22" i="4"/>
  <c r="F23" i="4"/>
  <c r="F24" i="4"/>
  <c r="F25" i="4"/>
  <c r="F26" i="4"/>
  <c r="F27" i="4"/>
  <c r="F28" i="4"/>
  <c r="F29" i="4"/>
  <c r="J38" i="4"/>
  <c r="K38" i="4"/>
  <c r="J39" i="4"/>
  <c r="K39" i="4"/>
  <c r="J40" i="4"/>
  <c r="K40" i="4"/>
  <c r="J41" i="4"/>
  <c r="K41" i="4"/>
  <c r="J42" i="4"/>
  <c r="K42" i="4"/>
  <c r="J43" i="4"/>
  <c r="K43" i="4"/>
  <c r="G44" i="4"/>
  <c r="H44" i="4"/>
  <c r="J44" i="4"/>
  <c r="K44" i="4"/>
  <c r="J45" i="4"/>
  <c r="K45" i="4"/>
  <c r="J50" i="4"/>
  <c r="E55" i="4"/>
  <c r="AD3" i="6"/>
  <c r="AE3" i="6"/>
  <c r="AF3" i="6"/>
  <c r="AD4" i="6"/>
  <c r="AE4" i="6"/>
  <c r="AF4" i="6"/>
  <c r="AD5" i="6"/>
  <c r="AE5" i="6"/>
  <c r="AF5" i="6"/>
  <c r="AD6" i="6"/>
  <c r="AE6" i="6"/>
  <c r="AF6" i="6"/>
  <c r="AD7" i="6"/>
  <c r="AE7" i="6"/>
  <c r="AF7" i="6"/>
  <c r="AD8" i="6"/>
  <c r="AE8" i="6"/>
  <c r="AF8" i="6"/>
  <c r="AD9" i="6"/>
  <c r="AE9" i="6"/>
  <c r="AF9" i="6"/>
  <c r="AD10" i="6"/>
  <c r="AE10" i="6"/>
  <c r="AF10" i="6"/>
  <c r="AD11" i="6"/>
  <c r="AE11" i="6"/>
  <c r="AF11" i="6"/>
  <c r="AD12" i="6"/>
  <c r="AE12" i="6"/>
  <c r="AF12" i="6"/>
  <c r="AD13" i="6"/>
  <c r="AE13" i="6"/>
  <c r="AF13" i="6"/>
  <c r="AD14" i="6"/>
  <c r="AE14" i="6"/>
  <c r="AF14" i="6"/>
  <c r="AD15" i="6"/>
  <c r="AE15" i="6"/>
  <c r="AF15" i="6"/>
  <c r="AD16" i="6"/>
  <c r="AE16" i="6"/>
  <c r="AF16" i="6"/>
  <c r="AD17" i="6"/>
  <c r="AE17" i="6"/>
  <c r="AF17" i="6"/>
  <c r="AD18" i="6"/>
  <c r="AE18" i="6"/>
  <c r="AF18" i="6"/>
  <c r="AD19" i="6"/>
  <c r="AE19" i="6"/>
  <c r="AF19" i="6"/>
  <c r="AD20" i="6"/>
  <c r="AE20" i="6"/>
  <c r="AF20" i="6"/>
  <c r="D23" i="6"/>
  <c r="AD23" i="6"/>
  <c r="AD141" i="6" s="1"/>
  <c r="AE23" i="6"/>
  <c r="AF23" i="6"/>
  <c r="D24" i="6"/>
  <c r="AD24" i="6"/>
  <c r="AE24" i="6"/>
  <c r="AF24" i="6"/>
  <c r="D25" i="6"/>
  <c r="AD25" i="6"/>
  <c r="AE25" i="6"/>
  <c r="AF25" i="6"/>
  <c r="D26" i="6"/>
  <c r="AD26" i="6"/>
  <c r="AE26" i="6"/>
  <c r="AF26" i="6"/>
  <c r="D27" i="6"/>
  <c r="AD27" i="6"/>
  <c r="AE27" i="6"/>
  <c r="AF27" i="6"/>
  <c r="D28" i="6"/>
  <c r="AD28" i="6"/>
  <c r="AE28" i="6"/>
  <c r="AF28" i="6"/>
  <c r="D29" i="6"/>
  <c r="AD29" i="6"/>
  <c r="AE29" i="6"/>
  <c r="AF29" i="6"/>
  <c r="D30" i="6"/>
  <c r="AD30" i="6"/>
  <c r="AE30" i="6"/>
  <c r="AF30" i="6"/>
  <c r="D31" i="6"/>
  <c r="AD31" i="6"/>
  <c r="AE31" i="6"/>
  <c r="AF31" i="6"/>
  <c r="D32" i="6"/>
  <c r="AD32" i="6"/>
  <c r="AE32" i="6"/>
  <c r="AF32" i="6"/>
  <c r="D33" i="6"/>
  <c r="AD33" i="6"/>
  <c r="AE33" i="6"/>
  <c r="AF33" i="6"/>
  <c r="D34" i="6"/>
  <c r="AD34" i="6"/>
  <c r="AE34" i="6"/>
  <c r="AF34" i="6"/>
  <c r="D35" i="6"/>
  <c r="AD35" i="6"/>
  <c r="AE35" i="6"/>
  <c r="AF35" i="6"/>
  <c r="D36" i="6"/>
  <c r="AD36" i="6"/>
  <c r="AE36" i="6"/>
  <c r="AF36" i="6"/>
  <c r="D37" i="6"/>
  <c r="AD37" i="6"/>
  <c r="AE37" i="6"/>
  <c r="AF37" i="6"/>
  <c r="D38" i="6"/>
  <c r="AD38" i="6"/>
  <c r="AE38" i="6"/>
  <c r="AF38" i="6"/>
  <c r="D39" i="6"/>
  <c r="AD39" i="6"/>
  <c r="AE39" i="6"/>
  <c r="AF39" i="6"/>
  <c r="D40" i="6"/>
  <c r="AD40" i="6"/>
  <c r="AE40" i="6"/>
  <c r="AF40" i="6"/>
  <c r="D41" i="6"/>
  <c r="AD41" i="6"/>
  <c r="AE41" i="6"/>
  <c r="AF41" i="6"/>
  <c r="D42" i="6"/>
  <c r="AE42" i="6" s="1"/>
  <c r="AD42" i="6"/>
  <c r="AF42" i="6"/>
  <c r="AD43" i="6"/>
  <c r="AF43" i="6"/>
  <c r="AD44" i="6"/>
  <c r="AF44" i="6"/>
  <c r="AD45" i="6"/>
  <c r="AF45" i="6"/>
  <c r="AD46" i="6"/>
  <c r="AF46" i="6"/>
  <c r="AD47" i="6"/>
  <c r="AE47" i="6"/>
  <c r="AD48" i="6"/>
  <c r="AF48" i="6"/>
  <c r="AD49" i="6"/>
  <c r="AF49" i="6"/>
  <c r="AD50" i="6"/>
  <c r="AF50" i="6"/>
  <c r="AD51" i="6"/>
  <c r="AF51" i="6"/>
  <c r="AD52" i="6"/>
  <c r="AF52" i="6"/>
  <c r="AD53" i="6"/>
  <c r="AF53" i="6"/>
  <c r="AD54" i="6"/>
  <c r="AF54" i="6"/>
  <c r="AD55" i="6"/>
  <c r="AF55" i="6"/>
  <c r="AD56" i="6"/>
  <c r="AF56" i="6"/>
  <c r="AD57" i="6"/>
  <c r="AF57" i="6"/>
  <c r="AD58" i="6"/>
  <c r="AF58" i="6"/>
  <c r="AD59" i="6"/>
  <c r="AF59" i="6"/>
  <c r="AD60" i="6"/>
  <c r="AF60" i="6"/>
  <c r="AD61" i="6"/>
  <c r="AF61" i="6"/>
  <c r="AD62" i="6"/>
  <c r="AF62" i="6"/>
  <c r="AD63" i="6"/>
  <c r="AF63" i="6"/>
  <c r="AD64" i="6"/>
  <c r="AF64" i="6"/>
  <c r="AD65" i="6"/>
  <c r="AF65" i="6"/>
  <c r="AD66" i="6"/>
  <c r="AF66" i="6"/>
  <c r="AD67" i="6"/>
  <c r="AF67" i="6"/>
  <c r="AD68" i="6"/>
  <c r="AF68" i="6"/>
  <c r="AD69" i="6"/>
  <c r="AF69" i="6"/>
  <c r="AD70" i="6"/>
  <c r="AF70" i="6"/>
  <c r="AD71" i="6"/>
  <c r="AE71" i="6"/>
  <c r="AF71" i="6"/>
  <c r="AD72" i="6"/>
  <c r="AE72" i="6"/>
  <c r="AF72" i="6"/>
  <c r="AD73" i="6"/>
  <c r="AE73" i="6"/>
  <c r="AF73" i="6"/>
  <c r="AD74" i="6"/>
  <c r="AE74" i="6"/>
  <c r="AF74" i="6"/>
  <c r="AD75" i="6"/>
  <c r="AE75" i="6"/>
  <c r="AF75" i="6"/>
  <c r="AD76" i="6"/>
  <c r="AE76" i="6"/>
  <c r="AF76" i="6"/>
  <c r="AD77" i="6"/>
  <c r="AE77" i="6"/>
  <c r="AF77" i="6"/>
  <c r="AD78" i="6"/>
  <c r="AE78" i="6"/>
  <c r="AF78" i="6"/>
  <c r="AD79" i="6"/>
  <c r="AE79" i="6"/>
  <c r="AF79" i="6"/>
  <c r="AD80" i="6"/>
  <c r="AE80" i="6"/>
  <c r="AF80" i="6"/>
  <c r="AD81" i="6"/>
  <c r="AE81" i="6"/>
  <c r="AF81" i="6"/>
  <c r="AD82" i="6"/>
  <c r="AE82" i="6"/>
  <c r="AF82" i="6"/>
  <c r="AD83" i="6"/>
  <c r="AE83" i="6"/>
  <c r="AF83" i="6"/>
  <c r="AD84" i="6"/>
  <c r="AE84" i="6"/>
  <c r="AF84" i="6"/>
  <c r="AD85" i="6"/>
  <c r="AE85" i="6"/>
  <c r="AF85" i="6"/>
  <c r="AD86" i="6"/>
  <c r="AE86" i="6"/>
  <c r="AF86" i="6"/>
  <c r="AD87" i="6"/>
  <c r="AE87" i="6"/>
  <c r="AF87" i="6"/>
  <c r="AD88" i="6"/>
  <c r="AE88" i="6"/>
  <c r="AF88" i="6"/>
  <c r="AD89" i="6"/>
  <c r="AE89" i="6"/>
  <c r="AF89" i="6"/>
  <c r="AD90" i="6"/>
  <c r="AE90" i="6"/>
  <c r="AF90" i="6"/>
  <c r="AD91" i="6"/>
  <c r="AE91" i="6"/>
  <c r="AF91" i="6"/>
  <c r="AD92" i="6"/>
  <c r="AE92" i="6"/>
  <c r="AF92" i="6"/>
  <c r="AD93" i="6"/>
  <c r="AE93" i="6"/>
  <c r="AF93" i="6"/>
  <c r="AD94" i="6"/>
  <c r="AE94" i="6"/>
  <c r="AF94" i="6"/>
  <c r="AD95" i="6"/>
  <c r="AE95" i="6"/>
  <c r="AF95" i="6"/>
  <c r="AD96" i="6"/>
  <c r="AE96" i="6"/>
  <c r="AF96" i="6"/>
  <c r="AD97" i="6"/>
  <c r="AE97" i="6"/>
  <c r="AF97" i="6"/>
  <c r="AD98" i="6"/>
  <c r="AE98" i="6"/>
  <c r="AF98" i="6"/>
  <c r="AD99" i="6"/>
  <c r="AE99" i="6"/>
  <c r="AF99" i="6"/>
  <c r="AD100" i="6"/>
  <c r="AE100" i="6"/>
  <c r="AF100" i="6"/>
  <c r="AD101" i="6"/>
  <c r="AE101" i="6"/>
  <c r="AF101" i="6"/>
  <c r="AD102" i="6"/>
  <c r="AE102" i="6"/>
  <c r="AF102" i="6"/>
  <c r="AD103" i="6"/>
  <c r="AE103" i="6"/>
  <c r="AF103" i="6"/>
  <c r="AD104" i="6"/>
  <c r="AE104" i="6"/>
  <c r="AF104" i="6"/>
  <c r="AD105" i="6"/>
  <c r="AE105" i="6"/>
  <c r="AF105" i="6"/>
  <c r="AD106" i="6"/>
  <c r="AE106" i="6"/>
  <c r="AF106" i="6"/>
  <c r="AD107" i="6"/>
  <c r="AE107" i="6"/>
  <c r="AF107" i="6"/>
  <c r="AD108" i="6"/>
  <c r="AE108" i="6"/>
  <c r="AF108" i="6"/>
  <c r="AD109" i="6"/>
  <c r="AE109" i="6"/>
  <c r="AF109" i="6"/>
  <c r="AD110" i="6"/>
  <c r="AE110" i="6"/>
  <c r="AF110" i="6"/>
  <c r="AD111" i="6"/>
  <c r="AE111" i="6"/>
  <c r="AF111" i="6"/>
  <c r="AD112" i="6"/>
  <c r="AE112" i="6"/>
  <c r="AF112" i="6"/>
  <c r="AD113" i="6"/>
  <c r="AE113" i="6"/>
  <c r="AF113" i="6"/>
  <c r="AD114" i="6"/>
  <c r="AE114" i="6"/>
  <c r="AF114" i="6"/>
  <c r="AD115" i="6"/>
  <c r="AE115" i="6"/>
  <c r="AF115" i="6"/>
  <c r="AD116" i="6"/>
  <c r="AE116" i="6"/>
  <c r="AF116" i="6"/>
  <c r="AD117" i="6"/>
  <c r="AD118" i="6"/>
  <c r="AE118" i="6"/>
  <c r="AF118" i="6"/>
  <c r="AD119" i="6"/>
  <c r="AE119" i="6"/>
  <c r="AF119" i="6"/>
  <c r="AD120" i="6"/>
  <c r="AE120" i="6"/>
  <c r="AF120" i="6"/>
  <c r="AD121" i="6"/>
  <c r="AE121" i="6"/>
  <c r="AF121" i="6"/>
  <c r="AD122" i="6"/>
  <c r="AE122" i="6"/>
  <c r="AF122" i="6"/>
  <c r="AD123" i="6"/>
  <c r="AE123" i="6"/>
  <c r="AF123" i="6"/>
  <c r="AD124" i="6"/>
  <c r="AE124" i="6"/>
  <c r="AF124" i="6"/>
  <c r="AD125" i="6"/>
  <c r="AE125" i="6"/>
  <c r="AF125" i="6"/>
  <c r="AD126" i="6"/>
  <c r="AD142" i="6" s="1"/>
  <c r="AE126" i="6"/>
  <c r="AF126" i="6"/>
  <c r="AD127" i="6"/>
  <c r="AE127" i="6"/>
  <c r="AF127" i="6"/>
  <c r="AF128" i="6"/>
  <c r="AD130" i="6"/>
  <c r="AE130" i="6"/>
  <c r="AF130" i="6"/>
  <c r="F139" i="6"/>
  <c r="F140" i="6"/>
  <c r="G140" i="6"/>
  <c r="F141" i="6"/>
  <c r="G141" i="6"/>
  <c r="G142" i="6"/>
  <c r="AE142" i="6"/>
  <c r="F143" i="6"/>
  <c r="F144" i="6"/>
  <c r="G144" i="6"/>
  <c r="F145" i="6"/>
  <c r="G145" i="6"/>
  <c r="G146" i="6"/>
  <c r="AD146" i="6"/>
  <c r="AE146" i="6"/>
  <c r="F147" i="6"/>
  <c r="G147" i="6"/>
  <c r="F148" i="6"/>
  <c r="G148" i="6"/>
  <c r="F149" i="6"/>
  <c r="G149" i="6"/>
  <c r="F150" i="6"/>
  <c r="G150" i="6"/>
  <c r="F151" i="6"/>
  <c r="G151" i="6"/>
  <c r="F152" i="6"/>
  <c r="G152" i="6"/>
  <c r="F153" i="6"/>
  <c r="G153" i="6"/>
  <c r="F154" i="6"/>
  <c r="G154" i="6"/>
  <c r="F155" i="6"/>
  <c r="G155" i="6"/>
  <c r="G156" i="6"/>
  <c r="F157" i="6"/>
  <c r="G157" i="6"/>
  <c r="F158" i="6"/>
  <c r="G158" i="6"/>
  <c r="F159" i="6"/>
  <c r="D43" i="6" s="1"/>
  <c r="AE43" i="6" s="1"/>
  <c r="G159" i="6"/>
  <c r="F160" i="6"/>
  <c r="D44" i="6" s="1"/>
  <c r="AE44" i="6" s="1"/>
  <c r="G160" i="6"/>
  <c r="F161" i="6"/>
  <c r="D45" i="6" s="1"/>
  <c r="AE45" i="6" s="1"/>
  <c r="G161" i="6"/>
  <c r="F162" i="6"/>
  <c r="D46" i="6" s="1"/>
  <c r="AE46" i="6" s="1"/>
  <c r="G162" i="6"/>
  <c r="F163" i="6"/>
  <c r="G163" i="6"/>
  <c r="G164" i="6"/>
  <c r="F169" i="6"/>
  <c r="D48" i="6" s="1"/>
  <c r="AE48" i="6" s="1"/>
  <c r="F170" i="6"/>
  <c r="D49" i="6" s="1"/>
  <c r="AE49" i="6" s="1"/>
  <c r="G170" i="6"/>
  <c r="F171" i="6"/>
  <c r="D50" i="6" s="1"/>
  <c r="AE50" i="6" s="1"/>
  <c r="G171" i="6"/>
  <c r="F172" i="6"/>
  <c r="D51" i="6" s="1"/>
  <c r="AE51" i="6" s="1"/>
  <c r="G172" i="6"/>
  <c r="F173" i="6"/>
  <c r="D52" i="6" s="1"/>
  <c r="AE52" i="6" s="1"/>
  <c r="G173" i="6"/>
  <c r="F174" i="6"/>
  <c r="D53" i="6" s="1"/>
  <c r="AE53" i="6" s="1"/>
  <c r="G174" i="6"/>
  <c r="F175" i="6"/>
  <c r="D54" i="6" s="1"/>
  <c r="AE54" i="6" s="1"/>
  <c r="G175" i="6"/>
  <c r="F176" i="6"/>
  <c r="D55" i="6" s="1"/>
  <c r="AE55" i="6" s="1"/>
  <c r="G176" i="6"/>
  <c r="F177" i="6"/>
  <c r="D56" i="6" s="1"/>
  <c r="AE56" i="6" s="1"/>
  <c r="G177" i="6"/>
  <c r="F178" i="6"/>
  <c r="D57" i="6" s="1"/>
  <c r="AE57" i="6" s="1"/>
  <c r="G178" i="6"/>
  <c r="F179" i="6"/>
  <c r="D58" i="6" s="1"/>
  <c r="AE58" i="6" s="1"/>
  <c r="G179" i="6"/>
  <c r="F180" i="6"/>
  <c r="D59" i="6" s="1"/>
  <c r="AE59" i="6" s="1"/>
  <c r="G180" i="6"/>
  <c r="F181" i="6"/>
  <c r="D60" i="6" s="1"/>
  <c r="AE60" i="6" s="1"/>
  <c r="G181" i="6"/>
  <c r="F182" i="6"/>
  <c r="D61" i="6" s="1"/>
  <c r="AE61" i="6" s="1"/>
  <c r="G182" i="6"/>
  <c r="F183" i="6"/>
  <c r="D62" i="6" s="1"/>
  <c r="AE62" i="6" s="1"/>
  <c r="G183" i="6"/>
  <c r="F184" i="6"/>
  <c r="D63" i="6" s="1"/>
  <c r="AE63" i="6" s="1"/>
  <c r="G184" i="6"/>
  <c r="F185" i="6"/>
  <c r="D64" i="6" s="1"/>
  <c r="AE64" i="6" s="1"/>
  <c r="G185" i="6"/>
  <c r="F186" i="6"/>
  <c r="D65" i="6" s="1"/>
  <c r="AE65" i="6" s="1"/>
  <c r="G186" i="6"/>
  <c r="F187" i="6"/>
  <c r="D66" i="6" s="1"/>
  <c r="AE66" i="6" s="1"/>
  <c r="G187" i="6"/>
  <c r="F188" i="6"/>
  <c r="D67" i="6" s="1"/>
  <c r="AE67" i="6" s="1"/>
  <c r="G188" i="6"/>
  <c r="F189" i="6"/>
  <c r="D68" i="6" s="1"/>
  <c r="AE68" i="6" s="1"/>
  <c r="G189" i="6"/>
  <c r="F190" i="6"/>
  <c r="D69" i="6" s="1"/>
  <c r="AE69" i="6" s="1"/>
  <c r="G190" i="6"/>
  <c r="F191" i="6"/>
  <c r="D70" i="6" s="1"/>
  <c r="AE70" i="6" s="1"/>
  <c r="G191" i="6"/>
  <c r="F192" i="6"/>
  <c r="G192" i="6"/>
  <c r="F193" i="6"/>
  <c r="G193" i="6"/>
  <c r="G194" i="6"/>
  <c r="Z4" i="5"/>
  <c r="B5" i="5"/>
  <c r="C5" i="5"/>
  <c r="D5" i="5"/>
  <c r="E5" i="5"/>
  <c r="F5" i="5"/>
  <c r="G5" i="5"/>
  <c r="H5" i="5"/>
  <c r="I5" i="5"/>
  <c r="J5" i="5"/>
  <c r="K5" i="5"/>
  <c r="L5" i="5"/>
  <c r="M5" i="5"/>
  <c r="N5" i="5"/>
  <c r="O5" i="5"/>
  <c r="P5" i="5"/>
  <c r="Q5" i="5"/>
  <c r="R5" i="5"/>
  <c r="S5" i="5"/>
  <c r="T5" i="5"/>
  <c r="U5" i="5"/>
  <c r="V5" i="5"/>
  <c r="W5" i="5"/>
  <c r="X5" i="5"/>
  <c r="Y5" i="5"/>
  <c r="B8" i="5" a="1"/>
  <c r="B8" i="5" s="1"/>
  <c r="C8" i="5" a="1"/>
  <c r="C8" i="5" s="1"/>
  <c r="D8" i="5" a="1"/>
  <c r="D8" i="5" s="1"/>
  <c r="E8" i="5" a="1"/>
  <c r="E8" i="5" s="1"/>
  <c r="F8" i="5" a="1"/>
  <c r="F8" i="5" s="1"/>
  <c r="G8" i="5" a="1"/>
  <c r="G8" i="5" s="1"/>
  <c r="H8" i="5" a="1"/>
  <c r="H8" i="5" s="1"/>
  <c r="I8" i="5" a="1"/>
  <c r="I8" i="5" s="1"/>
  <c r="J8" i="5" a="1"/>
  <c r="J8" i="5" s="1"/>
  <c r="K8" i="5" a="1"/>
  <c r="K8" i="5" s="1"/>
  <c r="L8" i="5" a="1"/>
  <c r="L8" i="5" s="1"/>
  <c r="M8" i="5" a="1"/>
  <c r="M8" i="5" s="1"/>
  <c r="N8" i="5" a="1"/>
  <c r="N8" i="5" s="1"/>
  <c r="O8" i="5" a="1"/>
  <c r="O8" i="5" s="1"/>
  <c r="P8" i="5" a="1"/>
  <c r="P8" i="5" s="1"/>
  <c r="Q8" i="5" a="1"/>
  <c r="Q8" i="5" s="1"/>
  <c r="R8" i="5" a="1"/>
  <c r="R8" i="5" s="1"/>
  <c r="S8" i="5" a="1"/>
  <c r="S8" i="5" s="1"/>
  <c r="T8" i="5" a="1"/>
  <c r="T8" i="5" s="1"/>
  <c r="U8" i="5" a="1"/>
  <c r="U8" i="5" s="1"/>
  <c r="V8" i="5" a="1"/>
  <c r="V8" i="5" s="1"/>
  <c r="W8" i="5" a="1"/>
  <c r="W8" i="5" s="1"/>
  <c r="X8" i="5" a="1"/>
  <c r="X8" i="5" s="1"/>
  <c r="Y8" i="5" a="1"/>
  <c r="Y8" i="5" s="1"/>
  <c r="E9" i="5"/>
  <c r="F9" i="5"/>
  <c r="G9" i="5"/>
  <c r="H9" i="5"/>
  <c r="I9" i="5"/>
  <c r="I33" i="5" s="1" a="1"/>
  <c r="I33" i="5" s="1"/>
  <c r="J9" i="5"/>
  <c r="J33" i="5" s="1" a="1"/>
  <c r="J33" i="5" s="1"/>
  <c r="K9" i="5"/>
  <c r="L9" i="5"/>
  <c r="M9" i="5"/>
  <c r="N9" i="5"/>
  <c r="O9" i="5"/>
  <c r="P9" i="5"/>
  <c r="Q9" i="5"/>
  <c r="R9" i="5"/>
  <c r="S9" i="5"/>
  <c r="T9" i="5"/>
  <c r="U9" i="5"/>
  <c r="V9" i="5"/>
  <c r="W9" i="5"/>
  <c r="X9" i="5"/>
  <c r="Y9" i="5"/>
  <c r="B11" i="5" a="1"/>
  <c r="B11" i="5" s="1"/>
  <c r="C11" i="5" a="1"/>
  <c r="C11" i="5" s="1"/>
  <c r="D11" i="5" a="1"/>
  <c r="D11" i="5" s="1"/>
  <c r="E11" i="5" a="1"/>
  <c r="E11" i="5" s="1"/>
  <c r="F11" i="5" a="1"/>
  <c r="F11" i="5" s="1"/>
  <c r="G11" i="5" a="1"/>
  <c r="G11" i="5" s="1"/>
  <c r="H11" i="5" a="1"/>
  <c r="H11" i="5" s="1"/>
  <c r="I11" i="5" a="1"/>
  <c r="I11" i="5" s="1"/>
  <c r="J11" i="5" a="1"/>
  <c r="J11" i="5" s="1"/>
  <c r="K11" i="5" a="1"/>
  <c r="K11" i="5" s="1"/>
  <c r="L11" i="5" a="1"/>
  <c r="L11" i="5" s="1"/>
  <c r="M11" i="5" a="1"/>
  <c r="M11" i="5" s="1"/>
  <c r="N11" i="5" a="1"/>
  <c r="N11" i="5" s="1"/>
  <c r="O11" i="5" a="1"/>
  <c r="O11" i="5" s="1"/>
  <c r="P11" i="5" a="1"/>
  <c r="P11" i="5" s="1"/>
  <c r="Q11" i="5" a="1"/>
  <c r="Q11" i="5" s="1"/>
  <c r="R11" i="5" a="1"/>
  <c r="R11" i="5" s="1"/>
  <c r="S11" i="5" a="1"/>
  <c r="S11" i="5" s="1"/>
  <c r="T11" i="5" a="1"/>
  <c r="T11" i="5" s="1"/>
  <c r="U11" i="5" a="1"/>
  <c r="U11" i="5" s="1"/>
  <c r="V11" i="5" a="1"/>
  <c r="V11" i="5" s="1"/>
  <c r="W11" i="5" a="1"/>
  <c r="W11" i="5" s="1"/>
  <c r="X11" i="5" a="1"/>
  <c r="X11" i="5" s="1"/>
  <c r="Y11" i="5" a="1"/>
  <c r="Y11" i="5" s="1"/>
  <c r="B12" i="5"/>
  <c r="C12" i="5"/>
  <c r="D12" i="5"/>
  <c r="E12" i="5"/>
  <c r="F12" i="5"/>
  <c r="G12" i="5"/>
  <c r="H12" i="5"/>
  <c r="I12" i="5"/>
  <c r="J12" i="5"/>
  <c r="K12" i="5"/>
  <c r="L12" i="5"/>
  <c r="M12" i="5"/>
  <c r="N12" i="5"/>
  <c r="O12" i="5"/>
  <c r="P12" i="5"/>
  <c r="Q12" i="5"/>
  <c r="R12" i="5"/>
  <c r="S12" i="5"/>
  <c r="T12" i="5"/>
  <c r="U12" i="5"/>
  <c r="V12" i="5"/>
  <c r="W12" i="5"/>
  <c r="X12" i="5"/>
  <c r="Y12" i="5"/>
  <c r="B14" i="5"/>
  <c r="C14" i="5"/>
  <c r="D14" i="5"/>
  <c r="E14" i="5"/>
  <c r="F14" i="5"/>
  <c r="G14" i="5"/>
  <c r="H14" i="5"/>
  <c r="I14" i="5"/>
  <c r="J14" i="5"/>
  <c r="K14" i="5"/>
  <c r="L14" i="5"/>
  <c r="M14" i="5"/>
  <c r="N14" i="5"/>
  <c r="O14" i="5"/>
  <c r="P14" i="5"/>
  <c r="Q14" i="5"/>
  <c r="R14" i="5"/>
  <c r="S14" i="5"/>
  <c r="T14" i="5"/>
  <c r="U14" i="5"/>
  <c r="V14" i="5"/>
  <c r="W14" i="5"/>
  <c r="X14" i="5"/>
  <c r="Y14" i="5"/>
  <c r="B15" i="5" a="1"/>
  <c r="B15" i="5" s="1"/>
  <c r="C15" i="5" a="1"/>
  <c r="C15" i="5" s="1"/>
  <c r="D15" i="5" a="1"/>
  <c r="D15" i="5" s="1"/>
  <c r="E15" i="5" a="1"/>
  <c r="E15" i="5" s="1"/>
  <c r="F15" i="5" a="1"/>
  <c r="F15" i="5" s="1"/>
  <c r="G15" i="5" a="1"/>
  <c r="G15" i="5" s="1"/>
  <c r="H15" i="5" a="1"/>
  <c r="H15" i="5" s="1"/>
  <c r="I15" i="5" a="1"/>
  <c r="I15" i="5" s="1"/>
  <c r="J15" i="5" a="1"/>
  <c r="J15" i="5" s="1"/>
  <c r="K15" i="5" a="1"/>
  <c r="K15" i="5" s="1"/>
  <c r="L15" i="5" a="1"/>
  <c r="L15" i="5" s="1"/>
  <c r="M15" i="5" a="1"/>
  <c r="M15" i="5" s="1"/>
  <c r="N15" i="5" a="1"/>
  <c r="N15" i="5" s="1"/>
  <c r="O15" i="5" a="1"/>
  <c r="O15" i="5" s="1"/>
  <c r="P15" i="5" a="1"/>
  <c r="P15" i="5" s="1"/>
  <c r="Q15" i="5" a="1"/>
  <c r="Q15" i="5" s="1"/>
  <c r="R15" i="5" a="1"/>
  <c r="R15" i="5" s="1"/>
  <c r="S15" i="5" a="1"/>
  <c r="S15" i="5" s="1"/>
  <c r="T15" i="5" a="1"/>
  <c r="T15" i="5" s="1"/>
  <c r="U15" i="5" a="1"/>
  <c r="U15" i="5" s="1"/>
  <c r="V15" i="5" a="1"/>
  <c r="V15" i="5" s="1"/>
  <c r="W15" i="5" a="1"/>
  <c r="W15" i="5" s="1"/>
  <c r="X15" i="5" a="1"/>
  <c r="X15" i="5" s="1"/>
  <c r="Y15" i="5" a="1"/>
  <c r="Y15" i="5" s="1"/>
  <c r="B16" i="5" a="1"/>
  <c r="B16" i="5" s="1"/>
  <c r="C16" i="5" a="1"/>
  <c r="C16" i="5" s="1"/>
  <c r="D16" i="5" a="1"/>
  <c r="D16" i="5" s="1"/>
  <c r="E16" i="5" a="1"/>
  <c r="E16" i="5" s="1"/>
  <c r="F16" i="5" a="1"/>
  <c r="F16" i="5" s="1"/>
  <c r="G16" i="5" a="1"/>
  <c r="G16" i="5" s="1"/>
  <c r="H16" i="5" a="1"/>
  <c r="H16" i="5" s="1"/>
  <c r="I16" i="5" a="1"/>
  <c r="I16" i="5" s="1"/>
  <c r="J16" i="5" a="1"/>
  <c r="J16" i="5" s="1"/>
  <c r="K16" i="5" a="1"/>
  <c r="K16" i="5" s="1"/>
  <c r="L16" i="5" a="1"/>
  <c r="L16" i="5" s="1"/>
  <c r="M16" i="5" a="1"/>
  <c r="M16" i="5" s="1"/>
  <c r="N16" i="5" a="1"/>
  <c r="N16" i="5" s="1"/>
  <c r="O16" i="5" a="1"/>
  <c r="O16" i="5" s="1"/>
  <c r="P16" i="5" a="1"/>
  <c r="P16" i="5" s="1"/>
  <c r="Q16" i="5" a="1"/>
  <c r="Q16" i="5" s="1"/>
  <c r="R16" i="5" a="1"/>
  <c r="R16" i="5" s="1"/>
  <c r="S16" i="5" a="1"/>
  <c r="S16" i="5" s="1"/>
  <c r="T16" i="5" a="1"/>
  <c r="T16" i="5" s="1"/>
  <c r="U16" i="5" a="1"/>
  <c r="U16" i="5" s="1"/>
  <c r="V16" i="5" a="1"/>
  <c r="V16" i="5" s="1"/>
  <c r="W16" i="5" a="1"/>
  <c r="W16" i="5" s="1"/>
  <c r="X16" i="5" a="1"/>
  <c r="X16" i="5" s="1"/>
  <c r="Y16" i="5" a="1"/>
  <c r="Y16" i="5" s="1"/>
  <c r="B17" i="5" a="1"/>
  <c r="B17" i="5" s="1"/>
  <c r="C17" i="5" a="1"/>
  <c r="C17" i="5" s="1"/>
  <c r="D17" i="5" a="1"/>
  <c r="D17" i="5" s="1"/>
  <c r="E17" i="5" a="1"/>
  <c r="E17" i="5" s="1"/>
  <c r="F17" i="5" a="1"/>
  <c r="F17" i="5" s="1"/>
  <c r="G17" i="5" a="1"/>
  <c r="G17" i="5" s="1"/>
  <c r="H17" i="5" a="1"/>
  <c r="H17" i="5" s="1"/>
  <c r="I17" i="5" a="1"/>
  <c r="I17" i="5" s="1"/>
  <c r="J17" i="5" a="1"/>
  <c r="J17" i="5" s="1"/>
  <c r="K17" i="5" a="1"/>
  <c r="K17" i="5" s="1"/>
  <c r="L17" i="5" a="1"/>
  <c r="L17" i="5" s="1"/>
  <c r="M17" i="5" a="1"/>
  <c r="M17" i="5" s="1"/>
  <c r="N17" i="5" a="1"/>
  <c r="N17" i="5" s="1"/>
  <c r="O17" i="5" a="1"/>
  <c r="O17" i="5" s="1"/>
  <c r="P17" i="5" a="1"/>
  <c r="P17" i="5" s="1"/>
  <c r="Q17" i="5" a="1"/>
  <c r="Q17" i="5" s="1"/>
  <c r="R17" i="5" a="1"/>
  <c r="R17" i="5" s="1"/>
  <c r="S17" i="5" a="1"/>
  <c r="S17" i="5" s="1"/>
  <c r="T17" i="5" a="1"/>
  <c r="T17" i="5" s="1"/>
  <c r="U17" i="5" a="1"/>
  <c r="U17" i="5" s="1"/>
  <c r="W17" i="5" a="1"/>
  <c r="W17" i="5" s="1"/>
  <c r="X17" i="5" a="1"/>
  <c r="X17" i="5" s="1"/>
  <c r="Y17" i="5" a="1"/>
  <c r="Y17" i="5" s="1"/>
  <c r="B18" i="5"/>
  <c r="C18" i="5"/>
  <c r="D18" i="5"/>
  <c r="E18" i="5"/>
  <c r="F18" i="5"/>
  <c r="G18" i="5"/>
  <c r="H18" i="5"/>
  <c r="I18" i="5"/>
  <c r="J18" i="5"/>
  <c r="K18" i="5"/>
  <c r="L18" i="5"/>
  <c r="M18" i="5"/>
  <c r="N18" i="5"/>
  <c r="O18" i="5"/>
  <c r="P18" i="5"/>
  <c r="Q18" i="5"/>
  <c r="R18" i="5"/>
  <c r="S18" i="5"/>
  <c r="T18" i="5"/>
  <c r="U18" i="5"/>
  <c r="V18" i="5"/>
  <c r="W18" i="5"/>
  <c r="X18" i="5"/>
  <c r="Y18" i="5"/>
  <c r="B20" i="5" a="1"/>
  <c r="B20" i="5" s="1"/>
  <c r="C20" i="5" a="1"/>
  <c r="C20" i="5" s="1"/>
  <c r="D20" i="5" a="1"/>
  <c r="D20" i="5" s="1"/>
  <c r="E20" i="5" a="1"/>
  <c r="E20" i="5" s="1"/>
  <c r="F20" i="5" a="1"/>
  <c r="F20" i="5" s="1"/>
  <c r="G20" i="5" a="1"/>
  <c r="G20" i="5" s="1"/>
  <c r="H20" i="5" a="1"/>
  <c r="H20" i="5" s="1"/>
  <c r="I20" i="5" a="1"/>
  <c r="I20" i="5" s="1"/>
  <c r="J20" i="5" a="1"/>
  <c r="J20" i="5" s="1"/>
  <c r="L20" i="5" a="1"/>
  <c r="L20" i="5" s="1"/>
  <c r="M20" i="5" a="1"/>
  <c r="M20" i="5" s="1"/>
  <c r="N20" i="5" a="1"/>
  <c r="N20" i="5" s="1"/>
  <c r="R20" i="5" a="1"/>
  <c r="R20" i="5" s="1"/>
  <c r="S20" i="5" a="1"/>
  <c r="S20" i="5" s="1"/>
  <c r="T20" i="5" a="1"/>
  <c r="T20" i="5" s="1"/>
  <c r="U20" i="5" a="1"/>
  <c r="U20" i="5" s="1"/>
  <c r="V20" i="5" a="1"/>
  <c r="V20" i="5" s="1"/>
  <c r="W20" i="5" a="1"/>
  <c r="W20" i="5" s="1"/>
  <c r="X20" i="5" a="1"/>
  <c r="X20" i="5" s="1"/>
  <c r="Y20" i="5" a="1"/>
  <c r="Y20" i="5" s="1"/>
  <c r="B22" i="5"/>
  <c r="C22" i="5"/>
  <c r="D22" i="5"/>
  <c r="E22" i="5"/>
  <c r="F22" i="5"/>
  <c r="G22" i="5"/>
  <c r="H22" i="5"/>
  <c r="I22" i="5"/>
  <c r="J22" i="5"/>
  <c r="K22" i="5"/>
  <c r="L22" i="5"/>
  <c r="M22" i="5"/>
  <c r="N22" i="5"/>
  <c r="O22" i="5"/>
  <c r="P22" i="5"/>
  <c r="Q22" i="5"/>
  <c r="R22" i="5"/>
  <c r="S22" i="5"/>
  <c r="T22" i="5"/>
  <c r="U22" i="5"/>
  <c r="V22" i="5"/>
  <c r="W22" i="5"/>
  <c r="X22" i="5"/>
  <c r="Y22" i="5"/>
  <c r="B23" i="5"/>
  <c r="C23" i="5"/>
  <c r="D23" i="5"/>
  <c r="E23" i="5"/>
  <c r="F23" i="5"/>
  <c r="G23" i="5"/>
  <c r="H23" i="5"/>
  <c r="I23" i="5"/>
  <c r="J23" i="5"/>
  <c r="K23" i="5"/>
  <c r="L23" i="5"/>
  <c r="M23" i="5"/>
  <c r="N23" i="5"/>
  <c r="O23" i="5"/>
  <c r="P23" i="5"/>
  <c r="Q23" i="5"/>
  <c r="R23" i="5"/>
  <c r="S23" i="5"/>
  <c r="T23" i="5"/>
  <c r="U23" i="5"/>
  <c r="V23" i="5"/>
  <c r="W23" i="5"/>
  <c r="X23" i="5"/>
  <c r="Y23" i="5"/>
  <c r="B26" i="5"/>
  <c r="C26" i="5"/>
  <c r="D26" i="5"/>
  <c r="E26" i="5"/>
  <c r="F26" i="5"/>
  <c r="G26" i="5"/>
  <c r="H26" i="5"/>
  <c r="I26" i="5"/>
  <c r="K26" i="5"/>
  <c r="L26" i="5"/>
  <c r="M26" i="5"/>
  <c r="N26" i="5"/>
  <c r="O26" i="5"/>
  <c r="P26" i="5"/>
  <c r="Q26" i="5"/>
  <c r="R26" i="5"/>
  <c r="S26" i="5"/>
  <c r="T26" i="5"/>
  <c r="U26" i="5"/>
  <c r="V26" i="5"/>
  <c r="W26" i="5"/>
  <c r="X26" i="5"/>
  <c r="Y26" i="5"/>
  <c r="B27" i="5"/>
  <c r="C27" i="5"/>
  <c r="D27" i="5"/>
  <c r="E27" i="5"/>
  <c r="F27" i="5"/>
  <c r="G27" i="5"/>
  <c r="H27" i="5"/>
  <c r="I27" i="5"/>
  <c r="J27" i="5"/>
  <c r="K27" i="5"/>
  <c r="L27" i="5"/>
  <c r="M27" i="5"/>
  <c r="N27" i="5"/>
  <c r="O27" i="5"/>
  <c r="P27" i="5"/>
  <c r="Q27" i="5"/>
  <c r="R27" i="5"/>
  <c r="S27" i="5"/>
  <c r="T27" i="5"/>
  <c r="U27" i="5"/>
  <c r="V27" i="5"/>
  <c r="W27" i="5"/>
  <c r="X27" i="5"/>
  <c r="Y27" i="5"/>
  <c r="B28" i="5" a="1"/>
  <c r="B28" i="5" s="1"/>
  <c r="C28" i="5" a="1"/>
  <c r="C28" i="5" s="1"/>
  <c r="D28" i="5" a="1"/>
  <c r="D28" i="5" s="1"/>
  <c r="E28" i="5" a="1"/>
  <c r="E28" i="5" s="1"/>
  <c r="F28" i="5" a="1"/>
  <c r="F28" i="5" s="1"/>
  <c r="G28" i="5" a="1"/>
  <c r="G28" i="5" s="1"/>
  <c r="H28" i="5" a="1"/>
  <c r="H28" i="5" s="1"/>
  <c r="I28" i="5" a="1"/>
  <c r="I28" i="5" s="1"/>
  <c r="J28" i="5" a="1"/>
  <c r="J28" i="5" s="1"/>
  <c r="K28" i="5" a="1"/>
  <c r="K28" i="5" s="1"/>
  <c r="L28" i="5" a="1"/>
  <c r="L28" i="5" s="1"/>
  <c r="M28" i="5" a="1"/>
  <c r="M28" i="5" s="1"/>
  <c r="N28" i="5" a="1"/>
  <c r="N28" i="5" s="1"/>
  <c r="O28" i="5" a="1"/>
  <c r="O28" i="5" s="1"/>
  <c r="P28" i="5" a="1"/>
  <c r="P28" i="5" s="1"/>
  <c r="Q28" i="5" a="1"/>
  <c r="Q28" i="5" s="1"/>
  <c r="R28" i="5" a="1"/>
  <c r="R28" i="5" s="1"/>
  <c r="S28" i="5" a="1"/>
  <c r="S28" i="5" s="1"/>
  <c r="T28" i="5" a="1"/>
  <c r="T28" i="5" s="1"/>
  <c r="U28" i="5" a="1"/>
  <c r="U28" i="5" s="1"/>
  <c r="V28" i="5" a="1"/>
  <c r="V28" i="5" s="1"/>
  <c r="W28" i="5" a="1"/>
  <c r="W28" i="5" s="1"/>
  <c r="X28" i="5" a="1"/>
  <c r="X28" i="5" s="1"/>
  <c r="Y28" i="5" a="1"/>
  <c r="Y28" i="5" s="1"/>
  <c r="B29" i="5" a="1"/>
  <c r="B29" i="5" s="1"/>
  <c r="C29" i="5" a="1"/>
  <c r="C29" i="5" s="1"/>
  <c r="D29" i="5" a="1"/>
  <c r="D29" i="5" s="1"/>
  <c r="E29" i="5" a="1"/>
  <c r="E29" i="5" s="1"/>
  <c r="F29" i="5" a="1"/>
  <c r="F29" i="5" s="1"/>
  <c r="G29" i="5" a="1"/>
  <c r="G29" i="5" s="1"/>
  <c r="H29" i="5" a="1"/>
  <c r="H29" i="5" s="1"/>
  <c r="I29" i="5" a="1"/>
  <c r="I29" i="5" s="1"/>
  <c r="J29" i="5" a="1"/>
  <c r="J29" i="5" s="1"/>
  <c r="K29" i="5" a="1"/>
  <c r="K29" i="5" s="1"/>
  <c r="L29" i="5" a="1"/>
  <c r="L29" i="5" s="1"/>
  <c r="M29" i="5" a="1"/>
  <c r="M29" i="5" s="1"/>
  <c r="N29" i="5" a="1"/>
  <c r="N29" i="5" s="1"/>
  <c r="O29" i="5" a="1"/>
  <c r="O29" i="5" s="1"/>
  <c r="P29" i="5" a="1"/>
  <c r="P29" i="5" s="1"/>
  <c r="Q29" i="5" a="1"/>
  <c r="Q29" i="5" s="1"/>
  <c r="R29" i="5" a="1"/>
  <c r="R29" i="5" s="1"/>
  <c r="S29" i="5" a="1"/>
  <c r="S29" i="5" s="1"/>
  <c r="T29" i="5" a="1"/>
  <c r="T29" i="5" s="1"/>
  <c r="U29" i="5" a="1"/>
  <c r="U29" i="5" s="1"/>
  <c r="V29" i="5" a="1"/>
  <c r="V29" i="5" s="1"/>
  <c r="W29" i="5" a="1"/>
  <c r="W29" i="5" s="1"/>
  <c r="X29" i="5" a="1"/>
  <c r="X29" i="5" s="1"/>
  <c r="Y29" i="5" a="1"/>
  <c r="Y29" i="5" s="1"/>
  <c r="B30" i="5"/>
  <c r="C30" i="5"/>
  <c r="D30" i="5"/>
  <c r="E30" i="5"/>
  <c r="F30" i="5"/>
  <c r="G30" i="5"/>
  <c r="H30" i="5"/>
  <c r="I30" i="5" a="1"/>
  <c r="I30" i="5" s="1"/>
  <c r="J30" i="5" a="1"/>
  <c r="J30" i="5" s="1"/>
  <c r="K30" i="5"/>
  <c r="L30" i="5"/>
  <c r="M30" i="5"/>
  <c r="N30" i="5"/>
  <c r="O30" i="5"/>
  <c r="P30" i="5"/>
  <c r="Q30" i="5"/>
  <c r="R30" i="5"/>
  <c r="S30" i="5"/>
  <c r="T30" i="5"/>
  <c r="U30" i="5"/>
  <c r="V30" i="5"/>
  <c r="W30" i="5"/>
  <c r="X30" i="5"/>
  <c r="Y30" i="5"/>
  <c r="B31" i="5"/>
  <c r="C31" i="5"/>
  <c r="D31" i="5"/>
  <c r="E31" i="5"/>
  <c r="F31" i="5"/>
  <c r="G31" i="5"/>
  <c r="H31" i="5"/>
  <c r="I31" i="5"/>
  <c r="J31" i="5"/>
  <c r="K31" i="5"/>
  <c r="L31" i="5"/>
  <c r="M31" i="5"/>
  <c r="N31" i="5"/>
  <c r="O31" i="5"/>
  <c r="P31" i="5"/>
  <c r="Q31" i="5"/>
  <c r="R31" i="5"/>
  <c r="S31" i="5"/>
  <c r="T31" i="5"/>
  <c r="U31" i="5"/>
  <c r="V31" i="5"/>
  <c r="W31" i="5"/>
  <c r="X31" i="5"/>
  <c r="Y31" i="5"/>
  <c r="B32" i="5" a="1"/>
  <c r="B32" i="5" s="1"/>
  <c r="C32" i="5" a="1"/>
  <c r="C32" i="5" s="1"/>
  <c r="D32" i="5" a="1"/>
  <c r="D32" i="5" s="1"/>
  <c r="E32" i="5" a="1"/>
  <c r="E32" i="5" s="1"/>
  <c r="F32" i="5" a="1"/>
  <c r="F32" i="5" s="1"/>
  <c r="G32" i="5" a="1"/>
  <c r="G32" i="5" s="1"/>
  <c r="H32" i="5" a="1"/>
  <c r="H32" i="5" s="1"/>
  <c r="I32" i="5" a="1"/>
  <c r="I32" i="5" s="1"/>
  <c r="J32" i="5" a="1"/>
  <c r="J32" i="5" s="1"/>
  <c r="K32" i="5" a="1"/>
  <c r="K32" i="5" s="1"/>
  <c r="L32" i="5" a="1"/>
  <c r="L32" i="5" s="1"/>
  <c r="M32" i="5" a="1"/>
  <c r="M32" i="5" s="1"/>
  <c r="N32" i="5" a="1"/>
  <c r="N32" i="5" s="1"/>
  <c r="O32" i="5" a="1"/>
  <c r="O32" i="5" s="1"/>
  <c r="P32" i="5" a="1"/>
  <c r="P32" i="5" s="1"/>
  <c r="Q32" i="5" a="1"/>
  <c r="Q32" i="5" s="1"/>
  <c r="R32" i="5" a="1"/>
  <c r="R32" i="5" s="1"/>
  <c r="S32" i="5" a="1"/>
  <c r="S32" i="5" s="1"/>
  <c r="T32" i="5" a="1"/>
  <c r="T32" i="5" s="1"/>
  <c r="U32" i="5" a="1"/>
  <c r="U32" i="5" s="1"/>
  <c r="V32" i="5" a="1"/>
  <c r="V32" i="5" s="1"/>
  <c r="W32" i="5" a="1"/>
  <c r="W32" i="5" s="1"/>
  <c r="X32" i="5" a="1"/>
  <c r="X32" i="5" s="1"/>
  <c r="Y32" i="5" a="1"/>
  <c r="Y32" i="5" s="1"/>
  <c r="B33" i="5" a="1"/>
  <c r="B33" i="5" s="1"/>
  <c r="C33" i="5" a="1"/>
  <c r="C33" i="5" s="1"/>
  <c r="E33" i="5" a="1"/>
  <c r="E33" i="5" s="1"/>
  <c r="F33" i="5" a="1"/>
  <c r="F33" i="5" s="1"/>
  <c r="G33" i="5" a="1"/>
  <c r="G33" i="5" s="1"/>
  <c r="H33" i="5" a="1"/>
  <c r="H33" i="5" s="1"/>
  <c r="K33" i="5" a="1"/>
  <c r="K33" i="5" s="1"/>
  <c r="L33" i="5" a="1"/>
  <c r="L33" i="5" s="1"/>
  <c r="M33" i="5" a="1"/>
  <c r="M33" i="5" s="1"/>
  <c r="N33" i="5" a="1"/>
  <c r="N33" i="5" s="1"/>
  <c r="O33" i="5" a="1"/>
  <c r="O33" i="5" s="1"/>
  <c r="P33" i="5" a="1"/>
  <c r="P33" i="5" s="1"/>
  <c r="Q33" i="5" a="1"/>
  <c r="Q33" i="5" s="1"/>
  <c r="R33" i="5" a="1"/>
  <c r="R33" i="5" s="1"/>
  <c r="S33" i="5" a="1"/>
  <c r="S33" i="5" s="1"/>
  <c r="T33" i="5" a="1"/>
  <c r="T33" i="5" s="1"/>
  <c r="U33" i="5" a="1"/>
  <c r="U33" i="5" s="1"/>
  <c r="V33" i="5" a="1"/>
  <c r="V33" i="5" s="1"/>
  <c r="W33" i="5" a="1"/>
  <c r="W33" i="5" s="1"/>
  <c r="X33" i="5" a="1"/>
  <c r="X33" i="5" s="1"/>
  <c r="Y33" i="5" a="1"/>
  <c r="Y33" i="5" s="1"/>
  <c r="B34" i="5" a="1"/>
  <c r="B34" i="5" s="1"/>
  <c r="C34" i="5" a="1"/>
  <c r="C34" i="5" s="1"/>
  <c r="D34" i="5" a="1"/>
  <c r="D34" i="5" s="1"/>
  <c r="E34" i="5" a="1"/>
  <c r="E34" i="5" s="1"/>
  <c r="F34" i="5" a="1"/>
  <c r="F34" i="5" s="1"/>
  <c r="G34" i="5" a="1"/>
  <c r="G34" i="5" s="1"/>
  <c r="H34" i="5" a="1"/>
  <c r="H34" i="5" s="1"/>
  <c r="I34" i="5" a="1"/>
  <c r="I34" i="5" s="1"/>
  <c r="J34" i="5" a="1"/>
  <c r="J34" i="5" s="1"/>
  <c r="K34" i="5" a="1"/>
  <c r="K34" i="5" s="1"/>
  <c r="L34" i="5" a="1"/>
  <c r="L34" i="5" s="1"/>
  <c r="M34" i="5" a="1"/>
  <c r="M34" i="5" s="1"/>
  <c r="N34" i="5" a="1"/>
  <c r="N34" i="5" s="1"/>
  <c r="O34" i="5" a="1"/>
  <c r="O34" i="5" s="1"/>
  <c r="P34" i="5" a="1"/>
  <c r="P34" i="5" s="1"/>
  <c r="Q34" i="5" a="1"/>
  <c r="Q34" i="5" s="1"/>
  <c r="R34" i="5" a="1"/>
  <c r="R34" i="5" s="1"/>
  <c r="S34" i="5" a="1"/>
  <c r="S34" i="5" s="1"/>
  <c r="T34" i="5" a="1"/>
  <c r="T34" i="5" s="1"/>
  <c r="U34" i="5" a="1"/>
  <c r="U34" i="5" s="1"/>
  <c r="V34" i="5" a="1"/>
  <c r="V34" i="5" s="1"/>
  <c r="W34" i="5" a="1"/>
  <c r="W34" i="5" s="1"/>
  <c r="X34" i="5" a="1"/>
  <c r="X34" i="5" s="1"/>
  <c r="Y34" i="5" a="1"/>
  <c r="Y34" i="5" s="1"/>
  <c r="B35" i="5" a="1"/>
  <c r="B35" i="5" s="1"/>
  <c r="C35" i="5" a="1"/>
  <c r="C35" i="5" s="1"/>
  <c r="D35" i="5" a="1"/>
  <c r="D35" i="5" s="1"/>
  <c r="E35" i="5" a="1"/>
  <c r="E35" i="5" s="1"/>
  <c r="F35" i="5" a="1"/>
  <c r="F35" i="5" s="1"/>
  <c r="G35" i="5" a="1"/>
  <c r="G35" i="5" s="1"/>
  <c r="H35" i="5" a="1"/>
  <c r="H35" i="5" s="1"/>
  <c r="I35" i="5" a="1"/>
  <c r="I35" i="5" s="1"/>
  <c r="J35" i="5" a="1"/>
  <c r="J35" i="5" s="1"/>
  <c r="K35" i="5" a="1"/>
  <c r="K35" i="5" s="1"/>
  <c r="L35" i="5" a="1"/>
  <c r="L35" i="5" s="1"/>
  <c r="M35" i="5" a="1"/>
  <c r="M35" i="5" s="1"/>
  <c r="N35" i="5" a="1"/>
  <c r="N35" i="5" s="1"/>
  <c r="O35" i="5" a="1"/>
  <c r="O35" i="5" s="1"/>
  <c r="P35" i="5" a="1"/>
  <c r="P35" i="5" s="1"/>
  <c r="Q35" i="5" a="1"/>
  <c r="Q35" i="5" s="1"/>
  <c r="R35" i="5" a="1"/>
  <c r="R35" i="5" s="1"/>
  <c r="S35" i="5" a="1"/>
  <c r="S35" i="5" s="1"/>
  <c r="T35" i="5" a="1"/>
  <c r="T35" i="5" s="1"/>
  <c r="U35" i="5" a="1"/>
  <c r="U35" i="5" s="1"/>
  <c r="V35" i="5" a="1"/>
  <c r="V35" i="5" s="1"/>
  <c r="W35" i="5" a="1"/>
  <c r="W35" i="5" s="1"/>
  <c r="X35" i="5" a="1"/>
  <c r="X35" i="5" s="1"/>
  <c r="Y35" i="5" a="1"/>
  <c r="Y35" i="5" s="1"/>
  <c r="B36" i="5"/>
  <c r="C36" i="5"/>
  <c r="D36" i="5"/>
  <c r="E36" i="5"/>
  <c r="F36" i="5"/>
  <c r="G36" i="5"/>
  <c r="H36" i="5"/>
  <c r="I36" i="5"/>
  <c r="J36" i="5"/>
  <c r="K36" i="5"/>
  <c r="L36" i="5"/>
  <c r="M36" i="5"/>
  <c r="N36" i="5"/>
  <c r="O36" i="5"/>
  <c r="P36" i="5"/>
  <c r="Q36" i="5"/>
  <c r="R36" i="5"/>
  <c r="S36" i="5"/>
  <c r="T36" i="5"/>
  <c r="U36" i="5"/>
  <c r="V36" i="5"/>
  <c r="W36" i="5"/>
  <c r="X36" i="5"/>
  <c r="Y36" i="5"/>
  <c r="L37" i="5"/>
  <c r="M37" i="5" a="1"/>
  <c r="M37" i="5" s="1"/>
  <c r="N37" i="5" a="1"/>
  <c r="N37" i="5" s="1"/>
  <c r="O37" i="5" a="1"/>
  <c r="O37" i="5" s="1"/>
  <c r="P37" i="5" a="1"/>
  <c r="P37" i="5" s="1"/>
  <c r="Q37" i="5" a="1"/>
  <c r="Q37" i="5" s="1"/>
  <c r="R37" i="5" a="1"/>
  <c r="R37" i="5" s="1"/>
  <c r="S37" i="5" a="1"/>
  <c r="S37" i="5" s="1"/>
  <c r="T37" i="5" a="1"/>
  <c r="T37" i="5" s="1"/>
  <c r="U37" i="5" a="1"/>
  <c r="U37" i="5" s="1"/>
  <c r="V37" i="5" a="1"/>
  <c r="V37" i="5" s="1"/>
  <c r="W37" i="5" a="1"/>
  <c r="W37" i="5" s="1"/>
  <c r="X37" i="5" a="1"/>
  <c r="X37" i="5" s="1"/>
  <c r="Y37" i="5" a="1"/>
  <c r="Y37" i="5" s="1"/>
  <c r="Z58" i="5"/>
  <c r="B69" i="5"/>
  <c r="C67" i="5" a="1"/>
  <c r="C67" i="5" s="1"/>
  <c r="C69" i="5" s="1"/>
  <c r="D67" i="5" a="1"/>
  <c r="D67" i="5" s="1"/>
  <c r="D69" i="5" s="1"/>
  <c r="E67" i="5" a="1"/>
  <c r="E67" i="5" s="1"/>
  <c r="E69" i="5" s="1"/>
  <c r="F67" i="5" a="1"/>
  <c r="F67" i="5" s="1"/>
  <c r="F69" i="5" s="1"/>
  <c r="G67" i="5" a="1"/>
  <c r="G67" i="5" s="1"/>
  <c r="G69" i="5" s="1"/>
  <c r="H67" i="5" a="1"/>
  <c r="H67" i="5" s="1"/>
  <c r="H69" i="5" s="1"/>
  <c r="I67" i="5" a="1"/>
  <c r="I67" i="5" s="1"/>
  <c r="I69" i="5" s="1"/>
  <c r="J67" i="5" a="1"/>
  <c r="J67" i="5" s="1"/>
  <c r="J69" i="5" s="1"/>
  <c r="K67" i="5" a="1"/>
  <c r="K67" i="5" s="1"/>
  <c r="K69" i="5" s="1"/>
  <c r="L67" i="5" a="1"/>
  <c r="L67" i="5" s="1"/>
  <c r="L69" i="5" s="1"/>
  <c r="M67" i="5" a="1"/>
  <c r="M67" i="5" s="1"/>
  <c r="M69" i="5" s="1"/>
  <c r="O67" i="5" a="1"/>
  <c r="O67" i="5" s="1"/>
  <c r="O69" i="5" s="1"/>
  <c r="P67" i="5" a="1"/>
  <c r="P67" i="5" s="1"/>
  <c r="P69" i="5" s="1"/>
  <c r="Q67" i="5" a="1"/>
  <c r="Q67" i="5" s="1"/>
  <c r="Q69" i="5" s="1"/>
  <c r="R67" i="5" a="1"/>
  <c r="R67" i="5" s="1"/>
  <c r="R69" i="5" s="1"/>
  <c r="S67" i="5" a="1"/>
  <c r="S67" i="5" s="1"/>
  <c r="S69" i="5" s="1"/>
  <c r="T67" i="5" a="1"/>
  <c r="T67" i="5" s="1"/>
  <c r="T69" i="5" s="1"/>
  <c r="U67" i="5" a="1"/>
  <c r="U67" i="5" s="1"/>
  <c r="U69" i="5" s="1"/>
  <c r="V67" i="5" a="1"/>
  <c r="V67" i="5" s="1"/>
  <c r="V69" i="5" s="1"/>
  <c r="W67" i="5" a="1"/>
  <c r="W67" i="5" s="1"/>
  <c r="W69" i="5" s="1"/>
  <c r="X67" i="5" a="1"/>
  <c r="X67" i="5" s="1"/>
  <c r="X69" i="5" s="1"/>
  <c r="Y67" i="5" a="1"/>
  <c r="Y67" i="5" s="1"/>
  <c r="Y69" i="5" s="1"/>
  <c r="N69" i="5"/>
  <c r="B79" i="5" a="1"/>
  <c r="B79" i="5" s="1"/>
  <c r="C79" i="5" a="1"/>
  <c r="C79" i="5" s="1"/>
  <c r="D79" i="5" a="1"/>
  <c r="D79" i="5" s="1"/>
  <c r="E79" i="5" a="1"/>
  <c r="E79" i="5" s="1"/>
  <c r="F79" i="5"/>
  <c r="G79" i="5" a="1"/>
  <c r="G79" i="5" s="1"/>
  <c r="H79" i="5" a="1"/>
  <c r="H79" i="5" s="1"/>
  <c r="I79" i="5" a="1"/>
  <c r="I79" i="5" s="1"/>
  <c r="J79" i="5" a="1"/>
  <c r="J79" i="5" s="1"/>
  <c r="K79" i="5" a="1"/>
  <c r="K79" i="5" s="1"/>
  <c r="L79" i="5" a="1"/>
  <c r="L79" i="5" s="1"/>
  <c r="M79" i="5" a="1"/>
  <c r="M79" i="5" s="1"/>
  <c r="N79" i="5" a="1"/>
  <c r="N79" i="5" s="1"/>
  <c r="O79" i="5" a="1"/>
  <c r="O79" i="5" s="1"/>
  <c r="P79" i="5" a="1"/>
  <c r="P79" i="5" s="1"/>
  <c r="Q79" i="5" a="1"/>
  <c r="Q79" i="5" s="1"/>
  <c r="R79" i="5" a="1"/>
  <c r="R79" i="5" s="1"/>
  <c r="S79" i="5" a="1"/>
  <c r="S79" i="5" s="1"/>
  <c r="T79" i="5" a="1"/>
  <c r="T79" i="5" s="1"/>
  <c r="U79" i="5" a="1"/>
  <c r="U79" i="5" s="1"/>
  <c r="V79" i="5" a="1"/>
  <c r="V79" i="5" s="1"/>
  <c r="W79" i="5" a="1"/>
  <c r="W79" i="5" s="1"/>
  <c r="X79" i="5" a="1"/>
  <c r="X79" i="5" s="1"/>
  <c r="Y79" i="5" a="1"/>
  <c r="Y79" i="5" s="1"/>
  <c r="B80" i="5"/>
  <c r="C80" i="5"/>
  <c r="D80" i="5"/>
  <c r="E80" i="5"/>
  <c r="F80" i="5"/>
  <c r="G80" i="5"/>
  <c r="H80" i="5"/>
  <c r="I80" i="5"/>
  <c r="J80" i="5"/>
  <c r="K80" i="5"/>
  <c r="L80" i="5"/>
  <c r="M80" i="5"/>
  <c r="N80" i="5"/>
  <c r="O80" i="5"/>
  <c r="P80" i="5"/>
  <c r="Q80" i="5"/>
  <c r="R80" i="5"/>
  <c r="S80" i="5"/>
  <c r="T80" i="5"/>
  <c r="U80" i="5"/>
  <c r="V80" i="5"/>
  <c r="W80" i="5"/>
  <c r="X80" i="5"/>
  <c r="Y80" i="5"/>
  <c r="B81" i="5" a="1"/>
  <c r="B81" i="5" s="1"/>
  <c r="C81" i="5" a="1"/>
  <c r="C81" i="5" s="1"/>
  <c r="D81" i="5" a="1"/>
  <c r="D81" i="5" s="1"/>
  <c r="E81" i="5" a="1"/>
  <c r="E81" i="5" s="1"/>
  <c r="F81" i="5" a="1"/>
  <c r="F81" i="5" s="1"/>
  <c r="G81" i="5" a="1"/>
  <c r="G81" i="5" s="1"/>
  <c r="H81" i="5" a="1"/>
  <c r="H81" i="5" s="1"/>
  <c r="I81" i="5" a="1"/>
  <c r="I81" i="5" s="1"/>
  <c r="J81" i="5" a="1"/>
  <c r="J81" i="5" s="1"/>
  <c r="K81" i="5" a="1"/>
  <c r="K81" i="5" s="1"/>
  <c r="L81" i="5" a="1"/>
  <c r="L81" i="5" s="1"/>
  <c r="M81" i="5" a="1"/>
  <c r="M81" i="5" s="1"/>
  <c r="N81" i="5" a="1"/>
  <c r="N81" i="5" s="1"/>
  <c r="O81" i="5" a="1"/>
  <c r="O81" i="5" s="1"/>
  <c r="P81" i="5" a="1"/>
  <c r="P81" i="5" s="1"/>
  <c r="Q81" i="5" a="1"/>
  <c r="Q81" i="5" s="1"/>
  <c r="R81" i="5" a="1"/>
  <c r="R81" i="5" s="1"/>
  <c r="S81" i="5" a="1"/>
  <c r="S81" i="5" s="1"/>
  <c r="T81" i="5" a="1"/>
  <c r="T81" i="5" s="1"/>
  <c r="U81" i="5" a="1"/>
  <c r="U81" i="5" s="1"/>
  <c r="V81" i="5" a="1"/>
  <c r="V81" i="5" s="1"/>
  <c r="W81" i="5" a="1"/>
  <c r="W81" i="5" s="1"/>
  <c r="X81" i="5" a="1"/>
  <c r="X81" i="5" s="1"/>
  <c r="Y81" i="5" a="1"/>
  <c r="Y81" i="5" s="1"/>
  <c r="C83" i="5" a="1"/>
  <c r="C83" i="5" s="1"/>
  <c r="B84" i="5"/>
  <c r="C84" i="5" a="1"/>
  <c r="C84" i="5" s="1"/>
  <c r="A89" i="5"/>
  <c r="B89" i="5"/>
  <c r="B171" i="5" s="1"/>
  <c r="C89" i="5"/>
  <c r="C171" i="5" s="1"/>
  <c r="D89" i="5"/>
  <c r="D171" i="5" s="1"/>
  <c r="E89" i="5"/>
  <c r="E171" i="5" s="1"/>
  <c r="F89" i="5"/>
  <c r="F171" i="5" s="1"/>
  <c r="G89" i="5"/>
  <c r="G171" i="5" s="1"/>
  <c r="H89" i="5"/>
  <c r="H171" i="5" s="1"/>
  <c r="I89" i="5"/>
  <c r="I171" i="5" s="1"/>
  <c r="J89" i="5"/>
  <c r="J171" i="5" s="1"/>
  <c r="K89" i="5"/>
  <c r="K171" i="5" s="1"/>
  <c r="L89" i="5"/>
  <c r="L171" i="5" s="1"/>
  <c r="M89" i="5"/>
  <c r="M171" i="5" s="1"/>
  <c r="N89" i="5"/>
  <c r="N171" i="5" s="1"/>
  <c r="O89" i="5"/>
  <c r="O171" i="5" s="1"/>
  <c r="P89" i="5"/>
  <c r="P171" i="5" s="1"/>
  <c r="Q89" i="5"/>
  <c r="Q171" i="5" s="1"/>
  <c r="R89" i="5"/>
  <c r="R171" i="5" s="1"/>
  <c r="S89" i="5"/>
  <c r="S171" i="5" s="1"/>
  <c r="T89" i="5"/>
  <c r="T171" i="5" s="1"/>
  <c r="U89" i="5"/>
  <c r="U171" i="5" s="1"/>
  <c r="V89" i="5"/>
  <c r="V171" i="5" s="1"/>
  <c r="W89" i="5"/>
  <c r="W171" i="5" s="1"/>
  <c r="X89" i="5"/>
  <c r="X171" i="5" s="1"/>
  <c r="Y89" i="5"/>
  <c r="Y171" i="5" s="1"/>
  <c r="B91" i="5"/>
  <c r="C91" i="5"/>
  <c r="D91" i="5"/>
  <c r="E91" i="5"/>
  <c r="F91" i="5"/>
  <c r="G91" i="5"/>
  <c r="H91" i="5"/>
  <c r="I91" i="5"/>
  <c r="J91" i="5"/>
  <c r="K91" i="5"/>
  <c r="L91" i="5"/>
  <c r="M91" i="5"/>
  <c r="N91" i="5"/>
  <c r="O91" i="5"/>
  <c r="P91" i="5"/>
  <c r="Q91" i="5"/>
  <c r="R91" i="5"/>
  <c r="S91" i="5"/>
  <c r="T91" i="5"/>
  <c r="U91" i="5"/>
  <c r="V91" i="5"/>
  <c r="W91" i="5"/>
  <c r="X91" i="5"/>
  <c r="Y91" i="5"/>
  <c r="A92" i="5"/>
  <c r="B92" i="5"/>
  <c r="B94" i="5" s="1"/>
  <c r="C92" i="5"/>
  <c r="C94" i="5" s="1"/>
  <c r="D92" i="5"/>
  <c r="D94" i="5" s="1"/>
  <c r="E92" i="5"/>
  <c r="E94" i="5" s="1"/>
  <c r="F92" i="5"/>
  <c r="F94" i="5" s="1"/>
  <c r="G92" i="5"/>
  <c r="G94" i="5" s="1"/>
  <c r="H92" i="5"/>
  <c r="H94" i="5" s="1"/>
  <c r="I92" i="5"/>
  <c r="J92" i="5"/>
  <c r="K92" i="5"/>
  <c r="L92" i="5"/>
  <c r="M92" i="5"/>
  <c r="N92" i="5"/>
  <c r="O92" i="5"/>
  <c r="P92" i="5"/>
  <c r="Q92" i="5"/>
  <c r="R92" i="5"/>
  <c r="S92" i="5"/>
  <c r="T92" i="5"/>
  <c r="U92" i="5"/>
  <c r="V92" i="5"/>
  <c r="W92" i="5"/>
  <c r="X92" i="5"/>
  <c r="Y92" i="5"/>
  <c r="I94" i="5"/>
  <c r="J94" i="5"/>
  <c r="K94" i="5"/>
  <c r="L94" i="5"/>
  <c r="M94" i="5"/>
  <c r="N94" i="5"/>
  <c r="O94" i="5"/>
  <c r="P94" i="5"/>
  <c r="Q94" i="5"/>
  <c r="R94" i="5"/>
  <c r="S94" i="5"/>
  <c r="T94" i="5"/>
  <c r="U94" i="5"/>
  <c r="V94" i="5"/>
  <c r="W94" i="5"/>
  <c r="X94" i="5"/>
  <c r="Y94" i="5"/>
  <c r="A95" i="5"/>
  <c r="B95" i="5"/>
  <c r="C95" i="5"/>
  <c r="D95" i="5"/>
  <c r="E95" i="5"/>
  <c r="F95" i="5"/>
  <c r="G95" i="5"/>
  <c r="H95" i="5"/>
  <c r="I95" i="5"/>
  <c r="J95" i="5"/>
  <c r="K95" i="5"/>
  <c r="L95" i="5"/>
  <c r="M95" i="5"/>
  <c r="N95" i="5"/>
  <c r="O95" i="5"/>
  <c r="P95" i="5"/>
  <c r="Q95" i="5"/>
  <c r="R95" i="5"/>
  <c r="S95" i="5"/>
  <c r="T95" i="5"/>
  <c r="U95" i="5"/>
  <c r="V95" i="5"/>
  <c r="W95" i="5"/>
  <c r="X95" i="5"/>
  <c r="Y95" i="5"/>
  <c r="B97" i="5"/>
  <c r="C97" i="5"/>
  <c r="D97" i="5"/>
  <c r="E97" i="5"/>
  <c r="F97" i="5"/>
  <c r="G97" i="5"/>
  <c r="H97" i="5"/>
  <c r="I97" i="5"/>
  <c r="J97" i="5"/>
  <c r="K97" i="5"/>
  <c r="L97" i="5"/>
  <c r="M97" i="5"/>
  <c r="N97" i="5"/>
  <c r="O97" i="5"/>
  <c r="P97" i="5"/>
  <c r="Q97" i="5"/>
  <c r="R97" i="5"/>
  <c r="S97" i="5"/>
  <c r="T97" i="5"/>
  <c r="U97" i="5"/>
  <c r="V97" i="5"/>
  <c r="W97" i="5"/>
  <c r="X97" i="5"/>
  <c r="Y97" i="5"/>
  <c r="A98" i="5"/>
  <c r="B98" i="5"/>
  <c r="C98" i="5"/>
  <c r="D98" i="5"/>
  <c r="E98" i="5"/>
  <c r="F98" i="5"/>
  <c r="G98" i="5"/>
  <c r="H98" i="5"/>
  <c r="I98" i="5"/>
  <c r="J98" i="5"/>
  <c r="K98" i="5"/>
  <c r="L98" i="5"/>
  <c r="M98" i="5"/>
  <c r="N98" i="5"/>
  <c r="O98" i="5"/>
  <c r="P98" i="5"/>
  <c r="Q98" i="5"/>
  <c r="R98" i="5"/>
  <c r="S98" i="5"/>
  <c r="T98" i="5"/>
  <c r="U98" i="5"/>
  <c r="V98" i="5"/>
  <c r="W98" i="5"/>
  <c r="X98" i="5"/>
  <c r="Y98" i="5"/>
  <c r="B100" i="5"/>
  <c r="C100" i="5"/>
  <c r="D100" i="5"/>
  <c r="E100" i="5"/>
  <c r="F100" i="5"/>
  <c r="G100" i="5"/>
  <c r="H100" i="5"/>
  <c r="I100" i="5"/>
  <c r="J100" i="5"/>
  <c r="K100" i="5"/>
  <c r="L100" i="5"/>
  <c r="M100" i="5"/>
  <c r="N100" i="5"/>
  <c r="O100" i="5"/>
  <c r="P100" i="5"/>
  <c r="Q100" i="5"/>
  <c r="R100" i="5"/>
  <c r="S100" i="5"/>
  <c r="T100" i="5"/>
  <c r="U100" i="5"/>
  <c r="V100" i="5"/>
  <c r="W100" i="5"/>
  <c r="X100" i="5"/>
  <c r="Y100" i="5"/>
  <c r="A101" i="5"/>
  <c r="B101" i="5"/>
  <c r="C101" i="5"/>
  <c r="D101" i="5"/>
  <c r="E101" i="5"/>
  <c r="F101" i="5"/>
  <c r="G101" i="5"/>
  <c r="H101" i="5"/>
  <c r="I101" i="5"/>
  <c r="J101" i="5"/>
  <c r="K101" i="5"/>
  <c r="L101" i="5"/>
  <c r="M101" i="5"/>
  <c r="N101" i="5"/>
  <c r="O101" i="5"/>
  <c r="P101" i="5"/>
  <c r="Q101" i="5"/>
  <c r="R101" i="5"/>
  <c r="S101" i="5"/>
  <c r="T101" i="5"/>
  <c r="U101" i="5"/>
  <c r="V101" i="5"/>
  <c r="W101" i="5"/>
  <c r="X101" i="5"/>
  <c r="Y101" i="5"/>
  <c r="B103" i="5"/>
  <c r="C103" i="5"/>
  <c r="D103" i="5"/>
  <c r="E103" i="5"/>
  <c r="F103" i="5"/>
  <c r="G103" i="5"/>
  <c r="H103" i="5"/>
  <c r="I103" i="5"/>
  <c r="J103" i="5"/>
  <c r="K103" i="5"/>
  <c r="L103" i="5"/>
  <c r="M103" i="5"/>
  <c r="N103" i="5"/>
  <c r="O103" i="5"/>
  <c r="P103" i="5"/>
  <c r="Q103" i="5"/>
  <c r="R103" i="5"/>
  <c r="S103" i="5"/>
  <c r="T103" i="5"/>
  <c r="U103" i="5"/>
  <c r="V103" i="5"/>
  <c r="W103" i="5"/>
  <c r="X103" i="5"/>
  <c r="Y103" i="5"/>
  <c r="A104" i="5"/>
  <c r="C104" i="5"/>
  <c r="D104" i="5"/>
  <c r="E104" i="5"/>
  <c r="F104" i="5"/>
  <c r="G104" i="5"/>
  <c r="H104" i="5"/>
  <c r="I104" i="5"/>
  <c r="J104" i="5"/>
  <c r="K104" i="5"/>
  <c r="L104" i="5"/>
  <c r="M104" i="5"/>
  <c r="N104" i="5"/>
  <c r="O104" i="5"/>
  <c r="P104" i="5"/>
  <c r="Q104" i="5"/>
  <c r="R104" i="5"/>
  <c r="W104" i="5"/>
  <c r="X104" i="5"/>
  <c r="Y104" i="5"/>
  <c r="Z104" i="5"/>
  <c r="B105" i="5"/>
  <c r="Z105" i="5" s="1" a="1"/>
  <c r="Z105" i="5" s="1"/>
  <c r="C105" i="5"/>
  <c r="D105" i="5"/>
  <c r="E105" i="5"/>
  <c r="F105" i="5"/>
  <c r="G105" i="5"/>
  <c r="H105" i="5"/>
  <c r="I105" i="5"/>
  <c r="J105" i="5"/>
  <c r="K105" i="5"/>
  <c r="L105" i="5"/>
  <c r="M105" i="5"/>
  <c r="N105" i="5"/>
  <c r="O105" i="5"/>
  <c r="P105" i="5"/>
  <c r="Q105" i="5"/>
  <c r="R105" i="5"/>
  <c r="S105" i="5"/>
  <c r="T105" i="5"/>
  <c r="U105" i="5"/>
  <c r="V105" i="5"/>
  <c r="W105" i="5"/>
  <c r="Z106" i="5"/>
  <c r="A109" i="5"/>
  <c r="B109" i="5"/>
  <c r="C109" i="5"/>
  <c r="D109" i="5"/>
  <c r="E109" i="5"/>
  <c r="F109" i="5"/>
  <c r="G109" i="5"/>
  <c r="H109" i="5"/>
  <c r="I109" i="5"/>
  <c r="J109" i="5"/>
  <c r="K109" i="5"/>
  <c r="L109" i="5"/>
  <c r="M109" i="5"/>
  <c r="N109" i="5"/>
  <c r="O109" i="5"/>
  <c r="P109" i="5"/>
  <c r="Q109" i="5"/>
  <c r="R109" i="5"/>
  <c r="S109" i="5"/>
  <c r="T109" i="5"/>
  <c r="U109" i="5"/>
  <c r="V109" i="5"/>
  <c r="W109" i="5"/>
  <c r="X109" i="5"/>
  <c r="Y109" i="5"/>
  <c r="Z109" i="5"/>
  <c r="B110" i="5"/>
  <c r="C110" i="5"/>
  <c r="D110" i="5"/>
  <c r="E110" i="5"/>
  <c r="F110" i="5"/>
  <c r="G110" i="5"/>
  <c r="H110" i="5"/>
  <c r="I110" i="5"/>
  <c r="J110" i="5"/>
  <c r="K110" i="5"/>
  <c r="L110" i="5"/>
  <c r="M110" i="5"/>
  <c r="N110" i="5"/>
  <c r="O110" i="5"/>
  <c r="P110" i="5"/>
  <c r="Q110" i="5"/>
  <c r="R110" i="5"/>
  <c r="S110" i="5"/>
  <c r="T110" i="5"/>
  <c r="U110" i="5"/>
  <c r="V110" i="5"/>
  <c r="W110" i="5"/>
  <c r="X110" i="5"/>
  <c r="Y110" i="5"/>
  <c r="Z110" i="5" a="1"/>
  <c r="Z110" i="5" s="1"/>
  <c r="Z111" i="5"/>
  <c r="B112" i="5"/>
  <c r="C112" i="5"/>
  <c r="D112" i="5"/>
  <c r="E112" i="5"/>
  <c r="F112" i="5"/>
  <c r="G112" i="5"/>
  <c r="H112" i="5"/>
  <c r="I112" i="5"/>
  <c r="J112" i="5"/>
  <c r="K112" i="5"/>
  <c r="L112" i="5"/>
  <c r="M112" i="5"/>
  <c r="N112" i="5"/>
  <c r="O112" i="5"/>
  <c r="P112" i="5"/>
  <c r="Q112" i="5"/>
  <c r="R112" i="5"/>
  <c r="S112" i="5"/>
  <c r="T112" i="5"/>
  <c r="U112" i="5"/>
  <c r="V112" i="5"/>
  <c r="W112" i="5"/>
  <c r="X112" i="5"/>
  <c r="Y112" i="5"/>
  <c r="Z112" i="5" a="1"/>
  <c r="Z112" i="5" s="1"/>
  <c r="B113" i="5"/>
  <c r="C113" i="5"/>
  <c r="D113" i="5"/>
  <c r="E113" i="5"/>
  <c r="F113" i="5"/>
  <c r="G113" i="5"/>
  <c r="H113" i="5"/>
  <c r="I113" i="5"/>
  <c r="J113" i="5"/>
  <c r="K113" i="5"/>
  <c r="L113" i="5"/>
  <c r="M113" i="5"/>
  <c r="N113" i="5"/>
  <c r="O113" i="5"/>
  <c r="P113" i="5"/>
  <c r="Q113" i="5"/>
  <c r="R113" i="5"/>
  <c r="S113" i="5"/>
  <c r="T113" i="5"/>
  <c r="U113" i="5"/>
  <c r="V113" i="5"/>
  <c r="W113" i="5"/>
  <c r="X113" i="5"/>
  <c r="Y113" i="5"/>
  <c r="A114" i="5"/>
  <c r="B114" i="5"/>
  <c r="C114" i="5"/>
  <c r="D114" i="5"/>
  <c r="E114" i="5"/>
  <c r="F114" i="5"/>
  <c r="G114" i="5"/>
  <c r="H114" i="5"/>
  <c r="I114" i="5"/>
  <c r="J114" i="5"/>
  <c r="K114" i="5"/>
  <c r="L114" i="5"/>
  <c r="M114" i="5"/>
  <c r="N114" i="5"/>
  <c r="O114" i="5"/>
  <c r="P114" i="5"/>
  <c r="Q114" i="5"/>
  <c r="R114" i="5"/>
  <c r="S114" i="5"/>
  <c r="T114" i="5"/>
  <c r="U114" i="5"/>
  <c r="V114" i="5"/>
  <c r="W114" i="5"/>
  <c r="X114" i="5"/>
  <c r="Y114" i="5"/>
  <c r="Z114" i="5"/>
  <c r="B115" i="5"/>
  <c r="C115" i="5"/>
  <c r="D115" i="5"/>
  <c r="E115" i="5"/>
  <c r="F115" i="5"/>
  <c r="G115" i="5"/>
  <c r="H115" i="5"/>
  <c r="I115" i="5"/>
  <c r="J115" i="5"/>
  <c r="K115" i="5"/>
  <c r="L115" i="5"/>
  <c r="M115" i="5"/>
  <c r="N115" i="5"/>
  <c r="O115" i="5"/>
  <c r="P115" i="5"/>
  <c r="Q115" i="5"/>
  <c r="R115" i="5"/>
  <c r="S115" i="5"/>
  <c r="T115" i="5"/>
  <c r="U115" i="5"/>
  <c r="V115" i="5"/>
  <c r="W115" i="5"/>
  <c r="X115" i="5"/>
  <c r="Y115" i="5"/>
  <c r="Z116" i="5"/>
  <c r="B117" i="5"/>
  <c r="C117" i="5"/>
  <c r="D117" i="5"/>
  <c r="E117" i="5"/>
  <c r="F117" i="5"/>
  <c r="G117" i="5"/>
  <c r="H117" i="5"/>
  <c r="I117" i="5"/>
  <c r="J117" i="5"/>
  <c r="K117" i="5"/>
  <c r="L117" i="5"/>
  <c r="M117" i="5"/>
  <c r="N117" i="5"/>
  <c r="O117" i="5"/>
  <c r="P117" i="5"/>
  <c r="Q117" i="5"/>
  <c r="R117" i="5"/>
  <c r="S117" i="5"/>
  <c r="T117" i="5"/>
  <c r="U117" i="5"/>
  <c r="V117" i="5"/>
  <c r="W117" i="5"/>
  <c r="X117" i="5"/>
  <c r="Y117" i="5"/>
  <c r="Y118" i="5" s="1"/>
  <c r="Z117" i="5" a="1"/>
  <c r="Z117" i="5" s="1"/>
  <c r="C118" i="5"/>
  <c r="A119" i="5"/>
  <c r="B119" i="5"/>
  <c r="C119" i="5"/>
  <c r="D119" i="5"/>
  <c r="E119" i="5"/>
  <c r="F119" i="5"/>
  <c r="G119" i="5"/>
  <c r="H119" i="5"/>
  <c r="I119" i="5"/>
  <c r="J119" i="5"/>
  <c r="K119" i="5"/>
  <c r="L119" i="5"/>
  <c r="M119" i="5"/>
  <c r="N119" i="5"/>
  <c r="O119" i="5"/>
  <c r="P119" i="5"/>
  <c r="Q119" i="5"/>
  <c r="R119" i="5"/>
  <c r="S119" i="5"/>
  <c r="T119" i="5"/>
  <c r="U119" i="5"/>
  <c r="V119" i="5"/>
  <c r="W119" i="5"/>
  <c r="X119" i="5"/>
  <c r="Y119" i="5"/>
  <c r="Z119" i="5"/>
  <c r="B120" i="5"/>
  <c r="C120" i="5"/>
  <c r="D120" i="5"/>
  <c r="E120" i="5"/>
  <c r="F120" i="5"/>
  <c r="G120" i="5"/>
  <c r="H120" i="5"/>
  <c r="I120" i="5"/>
  <c r="J120" i="5"/>
  <c r="K120" i="5"/>
  <c r="L120" i="5"/>
  <c r="M120" i="5"/>
  <c r="N120" i="5"/>
  <c r="O120" i="5"/>
  <c r="P120" i="5"/>
  <c r="Q120" i="5"/>
  <c r="R120" i="5"/>
  <c r="S120" i="5"/>
  <c r="T120" i="5"/>
  <c r="U120" i="5"/>
  <c r="V120" i="5"/>
  <c r="W120" i="5"/>
  <c r="X120" i="5"/>
  <c r="Y120" i="5"/>
  <c r="Z120" i="5" a="1"/>
  <c r="Z120" i="5" s="1"/>
  <c r="B121" i="5"/>
  <c r="B172" i="5" s="1"/>
  <c r="C121" i="5"/>
  <c r="C172" i="5" s="1"/>
  <c r="D121" i="5"/>
  <c r="D172" i="5" s="1"/>
  <c r="E121" i="5"/>
  <c r="E172" i="5" s="1"/>
  <c r="F121" i="5"/>
  <c r="F172" i="5" s="1"/>
  <c r="G121" i="5"/>
  <c r="G172" i="5" s="1"/>
  <c r="H121" i="5"/>
  <c r="H172" i="5" s="1"/>
  <c r="I121" i="5"/>
  <c r="I172" i="5" s="1"/>
  <c r="J121" i="5"/>
  <c r="J172" i="5" s="1"/>
  <c r="K121" i="5"/>
  <c r="K172" i="5" s="1"/>
  <c r="L121" i="5"/>
  <c r="L172" i="5" s="1"/>
  <c r="M121" i="5"/>
  <c r="M172" i="5" s="1"/>
  <c r="N121" i="5"/>
  <c r="N172" i="5" s="1"/>
  <c r="O121" i="5"/>
  <c r="O172" i="5" s="1"/>
  <c r="P121" i="5"/>
  <c r="P172" i="5" s="1"/>
  <c r="Q121" i="5"/>
  <c r="Q172" i="5" s="1"/>
  <c r="R121" i="5"/>
  <c r="R172" i="5" s="1"/>
  <c r="S121" i="5"/>
  <c r="S172" i="5" s="1"/>
  <c r="T121" i="5"/>
  <c r="T172" i="5" s="1"/>
  <c r="U121" i="5"/>
  <c r="U172" i="5" s="1"/>
  <c r="V121" i="5"/>
  <c r="V172" i="5" s="1"/>
  <c r="W121" i="5"/>
  <c r="W172" i="5" s="1"/>
  <c r="X121" i="5"/>
  <c r="X172" i="5" s="1"/>
  <c r="Y121" i="5"/>
  <c r="Y172" i="5" s="1"/>
  <c r="Z121" i="5"/>
  <c r="B122" i="5"/>
  <c r="C122" i="5"/>
  <c r="D122" i="5"/>
  <c r="E122" i="5"/>
  <c r="F122" i="5"/>
  <c r="G122" i="5"/>
  <c r="H122" i="5"/>
  <c r="I122" i="5"/>
  <c r="J122" i="5"/>
  <c r="K122" i="5"/>
  <c r="L122" i="5"/>
  <c r="M122" i="5"/>
  <c r="N122" i="5"/>
  <c r="O122" i="5"/>
  <c r="P122" i="5"/>
  <c r="Q122" i="5"/>
  <c r="R122" i="5"/>
  <c r="S122" i="5"/>
  <c r="T122" i="5"/>
  <c r="U122" i="5"/>
  <c r="V122" i="5"/>
  <c r="W122" i="5"/>
  <c r="X122" i="5"/>
  <c r="Y122" i="5"/>
  <c r="Z122" i="5" a="1"/>
  <c r="Z122" i="5" s="1"/>
  <c r="B123" i="5"/>
  <c r="C123" i="5"/>
  <c r="D123" i="5"/>
  <c r="E123" i="5"/>
  <c r="F123" i="5"/>
  <c r="G123" i="5"/>
  <c r="H123" i="5"/>
  <c r="I123" i="5"/>
  <c r="J123" i="5"/>
  <c r="K123" i="5"/>
  <c r="L123" i="5"/>
  <c r="M123" i="5"/>
  <c r="N123" i="5"/>
  <c r="O123" i="5"/>
  <c r="P123" i="5"/>
  <c r="Q123" i="5"/>
  <c r="R123" i="5"/>
  <c r="S123" i="5"/>
  <c r="T123" i="5"/>
  <c r="U123" i="5"/>
  <c r="V123" i="5"/>
  <c r="W123" i="5"/>
  <c r="X123" i="5"/>
  <c r="Y123" i="5"/>
  <c r="A124" i="5"/>
  <c r="B124" i="5"/>
  <c r="C124" i="5"/>
  <c r="D124" i="5"/>
  <c r="E124" i="5"/>
  <c r="F124" i="5"/>
  <c r="G124" i="5"/>
  <c r="H124" i="5"/>
  <c r="I124" i="5"/>
  <c r="J124" i="5"/>
  <c r="K124" i="5"/>
  <c r="L124" i="5"/>
  <c r="M124" i="5"/>
  <c r="N124" i="5"/>
  <c r="O124" i="5"/>
  <c r="P124" i="5"/>
  <c r="Q124" i="5"/>
  <c r="R124" i="5"/>
  <c r="S124" i="5"/>
  <c r="T124" i="5"/>
  <c r="U124" i="5"/>
  <c r="V124" i="5"/>
  <c r="W124" i="5"/>
  <c r="X124" i="5"/>
  <c r="Y124" i="5"/>
  <c r="Z124" i="5"/>
  <c r="B125" i="5"/>
  <c r="C125" i="5"/>
  <c r="D125" i="5"/>
  <c r="E125" i="5"/>
  <c r="F125" i="5"/>
  <c r="G125" i="5"/>
  <c r="H125" i="5"/>
  <c r="I125" i="5"/>
  <c r="J125" i="5"/>
  <c r="K125" i="5"/>
  <c r="L125" i="5"/>
  <c r="M125" i="5"/>
  <c r="N125" i="5"/>
  <c r="O125" i="5"/>
  <c r="P125" i="5"/>
  <c r="Q125" i="5"/>
  <c r="R125" i="5"/>
  <c r="S125" i="5"/>
  <c r="T125" i="5"/>
  <c r="U125" i="5"/>
  <c r="V125" i="5"/>
  <c r="W125" i="5"/>
  <c r="X125" i="5"/>
  <c r="Y125" i="5"/>
  <c r="Z125" i="5" a="1"/>
  <c r="Z125" i="5" s="1"/>
  <c r="B126" i="5"/>
  <c r="C126" i="5"/>
  <c r="D126" i="5"/>
  <c r="E126" i="5"/>
  <c r="F126" i="5"/>
  <c r="G126" i="5"/>
  <c r="H126" i="5"/>
  <c r="I126" i="5"/>
  <c r="J126" i="5"/>
  <c r="K126" i="5"/>
  <c r="L126" i="5"/>
  <c r="M126" i="5"/>
  <c r="N126" i="5"/>
  <c r="O126" i="5"/>
  <c r="P126" i="5"/>
  <c r="Q126" i="5"/>
  <c r="R126" i="5"/>
  <c r="S126" i="5"/>
  <c r="T126" i="5"/>
  <c r="U126" i="5"/>
  <c r="V126" i="5"/>
  <c r="W126" i="5"/>
  <c r="X126" i="5"/>
  <c r="Y126" i="5"/>
  <c r="Z126" i="5"/>
  <c r="B127" i="5"/>
  <c r="C127" i="5"/>
  <c r="D127" i="5"/>
  <c r="E127" i="5"/>
  <c r="F127" i="5"/>
  <c r="G127" i="5"/>
  <c r="H127" i="5"/>
  <c r="H128" i="5" s="1"/>
  <c r="I127" i="5"/>
  <c r="I128" i="5" s="1"/>
  <c r="J127" i="5"/>
  <c r="J128" i="5" s="1"/>
  <c r="K127" i="5"/>
  <c r="K128" i="5" s="1"/>
  <c r="L127" i="5"/>
  <c r="L128" i="5" s="1"/>
  <c r="M127" i="5"/>
  <c r="M128" i="5" s="1"/>
  <c r="N127" i="5"/>
  <c r="N128" i="5" s="1"/>
  <c r="O127" i="5"/>
  <c r="O128" i="5" s="1"/>
  <c r="P127" i="5"/>
  <c r="P128" i="5" s="1"/>
  <c r="Q127" i="5"/>
  <c r="Q128" i="5" s="1"/>
  <c r="R127" i="5"/>
  <c r="R128" i="5" s="1"/>
  <c r="S127" i="5"/>
  <c r="S128" i="5" s="1"/>
  <c r="T127" i="5"/>
  <c r="T128" i="5" s="1"/>
  <c r="U127" i="5"/>
  <c r="U128" i="5" s="1"/>
  <c r="V127" i="5"/>
  <c r="V128" i="5" s="1"/>
  <c r="W127" i="5"/>
  <c r="W128" i="5" s="1"/>
  <c r="X127" i="5"/>
  <c r="X128" i="5" s="1"/>
  <c r="Y127" i="5"/>
  <c r="Y128" i="5" s="1"/>
  <c r="Z127" i="5" a="1"/>
  <c r="Z127" i="5" s="1"/>
  <c r="B128" i="5"/>
  <c r="C128" i="5"/>
  <c r="D128" i="5"/>
  <c r="E128" i="5"/>
  <c r="F128" i="5"/>
  <c r="G128" i="5"/>
  <c r="A129" i="5"/>
  <c r="B129" i="5"/>
  <c r="C129" i="5"/>
  <c r="D129" i="5"/>
  <c r="E129" i="5"/>
  <c r="F129" i="5"/>
  <c r="G129" i="5"/>
  <c r="H129" i="5"/>
  <c r="I129" i="5"/>
  <c r="J129" i="5"/>
  <c r="K129" i="5"/>
  <c r="L129" i="5"/>
  <c r="M129" i="5"/>
  <c r="N129" i="5"/>
  <c r="O129" i="5"/>
  <c r="P129" i="5"/>
  <c r="Q129" i="5"/>
  <c r="R129" i="5"/>
  <c r="S129" i="5"/>
  <c r="T129" i="5"/>
  <c r="U129" i="5"/>
  <c r="V129" i="5"/>
  <c r="W129" i="5"/>
  <c r="X129" i="5"/>
  <c r="Y129" i="5"/>
  <c r="Z129" i="5"/>
  <c r="B130" i="5"/>
  <c r="C130" i="5"/>
  <c r="D130" i="5"/>
  <c r="E130" i="5"/>
  <c r="F130" i="5"/>
  <c r="G130" i="5"/>
  <c r="H130" i="5"/>
  <c r="I130" i="5"/>
  <c r="J130" i="5"/>
  <c r="K130" i="5"/>
  <c r="L130" i="5"/>
  <c r="M130" i="5"/>
  <c r="N130" i="5"/>
  <c r="O130" i="5"/>
  <c r="P130" i="5"/>
  <c r="Q130" i="5"/>
  <c r="R130" i="5"/>
  <c r="S130" i="5"/>
  <c r="T130" i="5"/>
  <c r="U130" i="5"/>
  <c r="V130" i="5"/>
  <c r="W130" i="5"/>
  <c r="X130" i="5"/>
  <c r="Y130" i="5"/>
  <c r="Z130" i="5" a="1"/>
  <c r="Z130" i="5" s="1"/>
  <c r="Z131" i="5"/>
  <c r="B132" i="5"/>
  <c r="C132" i="5"/>
  <c r="D132" i="5"/>
  <c r="D133" i="5" s="1"/>
  <c r="E132" i="5"/>
  <c r="E133" i="5" s="1"/>
  <c r="F132" i="5"/>
  <c r="F133" i="5" s="1"/>
  <c r="G132" i="5"/>
  <c r="G133" i="5" s="1"/>
  <c r="H132" i="5"/>
  <c r="H133" i="5" s="1"/>
  <c r="I132" i="5"/>
  <c r="I133" i="5" s="1"/>
  <c r="J132" i="5"/>
  <c r="J133" i="5" s="1"/>
  <c r="K132" i="5"/>
  <c r="K133" i="5" s="1"/>
  <c r="L132" i="5"/>
  <c r="L133" i="5" s="1"/>
  <c r="M132" i="5"/>
  <c r="M133" i="5" s="1"/>
  <c r="N132" i="5"/>
  <c r="N133" i="5" s="1"/>
  <c r="O132" i="5"/>
  <c r="O133" i="5" s="1"/>
  <c r="P132" i="5"/>
  <c r="P133" i="5" s="1"/>
  <c r="Q132" i="5"/>
  <c r="Q133" i="5" s="1"/>
  <c r="R132" i="5"/>
  <c r="R133" i="5" s="1"/>
  <c r="S132" i="5"/>
  <c r="S133" i="5" s="1"/>
  <c r="T132" i="5"/>
  <c r="T133" i="5" s="1"/>
  <c r="U132" i="5"/>
  <c r="U133" i="5" s="1"/>
  <c r="V132" i="5"/>
  <c r="V133" i="5" s="1"/>
  <c r="W132" i="5"/>
  <c r="W133" i="5" s="1"/>
  <c r="X132" i="5"/>
  <c r="X133" i="5" s="1"/>
  <c r="Y132" i="5"/>
  <c r="Y133" i="5" s="1"/>
  <c r="Z132" i="5" a="1"/>
  <c r="Z132" i="5" s="1"/>
  <c r="B133" i="5"/>
  <c r="C133" i="5"/>
  <c r="A134" i="5"/>
  <c r="B134" i="5"/>
  <c r="C134" i="5"/>
  <c r="D134" i="5"/>
  <c r="E134" i="5"/>
  <c r="F134" i="5"/>
  <c r="G134" i="5"/>
  <c r="H134" i="5"/>
  <c r="I134" i="5"/>
  <c r="J134" i="5"/>
  <c r="K134" i="5"/>
  <c r="L134" i="5"/>
  <c r="M134" i="5"/>
  <c r="N134" i="5"/>
  <c r="O134" i="5"/>
  <c r="P134" i="5"/>
  <c r="Q134" i="5"/>
  <c r="R134" i="5"/>
  <c r="S134" i="5"/>
  <c r="T134" i="5"/>
  <c r="U134" i="5"/>
  <c r="V134" i="5"/>
  <c r="W134" i="5"/>
  <c r="X134" i="5"/>
  <c r="Y134" i="5"/>
  <c r="Z134" i="5"/>
  <c r="B135" i="5"/>
  <c r="C135" i="5"/>
  <c r="D135" i="5"/>
  <c r="E135" i="5"/>
  <c r="F135" i="5"/>
  <c r="G135" i="5"/>
  <c r="H135" i="5"/>
  <c r="I135" i="5"/>
  <c r="J135" i="5"/>
  <c r="K135" i="5"/>
  <c r="L135" i="5"/>
  <c r="M135" i="5"/>
  <c r="N135" i="5"/>
  <c r="O135" i="5"/>
  <c r="P135" i="5"/>
  <c r="Q135" i="5"/>
  <c r="R135" i="5"/>
  <c r="S135" i="5"/>
  <c r="T135" i="5"/>
  <c r="U135" i="5"/>
  <c r="V135" i="5"/>
  <c r="W135" i="5"/>
  <c r="X135" i="5"/>
  <c r="Y135" i="5"/>
  <c r="Z135" i="5" a="1"/>
  <c r="Z135" i="5" s="1"/>
  <c r="B136" i="5"/>
  <c r="B165" i="5" s="1"/>
  <c r="C136" i="5"/>
  <c r="D136" i="5"/>
  <c r="E136" i="5"/>
  <c r="F136" i="5"/>
  <c r="G136" i="5"/>
  <c r="H136" i="5"/>
  <c r="I136" i="5"/>
  <c r="J136" i="5"/>
  <c r="K136" i="5"/>
  <c r="L136" i="5"/>
  <c r="M136" i="5"/>
  <c r="N136" i="5"/>
  <c r="O136" i="5"/>
  <c r="P136" i="5"/>
  <c r="Q136" i="5"/>
  <c r="R136" i="5"/>
  <c r="S136" i="5"/>
  <c r="T136" i="5"/>
  <c r="U136" i="5"/>
  <c r="U165" i="5" s="1"/>
  <c r="V136" i="5"/>
  <c r="V165" i="5" s="1"/>
  <c r="W136" i="5"/>
  <c r="W165" i="5" s="1"/>
  <c r="X136" i="5"/>
  <c r="Y136" i="5"/>
  <c r="Z136" i="5"/>
  <c r="B137" i="5"/>
  <c r="C137" i="5"/>
  <c r="E137" i="5"/>
  <c r="F137" i="5"/>
  <c r="G137" i="5"/>
  <c r="H137" i="5"/>
  <c r="I137" i="5"/>
  <c r="J137" i="5"/>
  <c r="K137" i="5"/>
  <c r="L137" i="5"/>
  <c r="M137" i="5"/>
  <c r="N137" i="5"/>
  <c r="O137" i="5"/>
  <c r="O138" i="5" s="1"/>
  <c r="P137" i="5"/>
  <c r="Q137" i="5"/>
  <c r="R137" i="5"/>
  <c r="S137" i="5"/>
  <c r="T137" i="5"/>
  <c r="U137" i="5"/>
  <c r="V137" i="5"/>
  <c r="W137" i="5"/>
  <c r="X137" i="5"/>
  <c r="Y137" i="5"/>
  <c r="Z137" i="5" a="1"/>
  <c r="Z137" i="5" s="1"/>
  <c r="B138" i="5"/>
  <c r="C138" i="5"/>
  <c r="D138" i="5"/>
  <c r="E138" i="5"/>
  <c r="F138" i="5"/>
  <c r="G138" i="5"/>
  <c r="H138" i="5"/>
  <c r="I138" i="5"/>
  <c r="J138" i="5"/>
  <c r="K138" i="5"/>
  <c r="L138" i="5"/>
  <c r="M138" i="5"/>
  <c r="N138" i="5"/>
  <c r="P138" i="5"/>
  <c r="Q138" i="5"/>
  <c r="R138" i="5"/>
  <c r="S138" i="5"/>
  <c r="T138" i="5"/>
  <c r="U138" i="5"/>
  <c r="V138" i="5"/>
  <c r="W138" i="5"/>
  <c r="X138" i="5"/>
  <c r="Y138" i="5"/>
  <c r="A139" i="5"/>
  <c r="B139" i="5"/>
  <c r="C139" i="5"/>
  <c r="D139" i="5"/>
  <c r="E139" i="5"/>
  <c r="F139" i="5"/>
  <c r="G139" i="5"/>
  <c r="H139" i="5"/>
  <c r="I139" i="5"/>
  <c r="J139" i="5"/>
  <c r="K139" i="5"/>
  <c r="L139" i="5"/>
  <c r="M139" i="5"/>
  <c r="N139" i="5"/>
  <c r="O139" i="5"/>
  <c r="P139" i="5"/>
  <c r="Q139" i="5"/>
  <c r="R139" i="5"/>
  <c r="S139" i="5"/>
  <c r="T139" i="5"/>
  <c r="U139" i="5"/>
  <c r="V139" i="5"/>
  <c r="W139" i="5"/>
  <c r="X139" i="5"/>
  <c r="Y139" i="5"/>
  <c r="Z139" i="5"/>
  <c r="A140" i="5"/>
  <c r="B140" i="5"/>
  <c r="C140" i="5"/>
  <c r="D140" i="5"/>
  <c r="E140" i="5"/>
  <c r="F140" i="5"/>
  <c r="G140" i="5"/>
  <c r="H140" i="5"/>
  <c r="I140" i="5"/>
  <c r="J140" i="5"/>
  <c r="K140" i="5"/>
  <c r="L140" i="5"/>
  <c r="M140" i="5"/>
  <c r="N140" i="5"/>
  <c r="O140" i="5"/>
  <c r="P140" i="5"/>
  <c r="Q140" i="5"/>
  <c r="R140" i="5"/>
  <c r="S140" i="5"/>
  <c r="T140" i="5"/>
  <c r="U140" i="5"/>
  <c r="V140" i="5"/>
  <c r="W140" i="5"/>
  <c r="X140" i="5"/>
  <c r="Y140" i="5"/>
  <c r="Z140" i="5" a="1"/>
  <c r="Z140" i="5" s="1"/>
  <c r="Z141" i="5"/>
  <c r="B142" i="5"/>
  <c r="C142" i="5"/>
  <c r="D142" i="5"/>
  <c r="E142" i="5"/>
  <c r="F142" i="5"/>
  <c r="G142" i="5"/>
  <c r="H142" i="5"/>
  <c r="I142" i="5"/>
  <c r="J142" i="5"/>
  <c r="K142" i="5"/>
  <c r="L142" i="5"/>
  <c r="M142" i="5"/>
  <c r="N142" i="5"/>
  <c r="O142" i="5"/>
  <c r="P142" i="5"/>
  <c r="Q142" i="5"/>
  <c r="R142" i="5"/>
  <c r="S142" i="5"/>
  <c r="T142" i="5"/>
  <c r="U142" i="5"/>
  <c r="V142" i="5"/>
  <c r="W142" i="5"/>
  <c r="X142" i="5"/>
  <c r="Y142" i="5"/>
  <c r="Z142" i="5" a="1"/>
  <c r="Z142" i="5" s="1"/>
  <c r="B143" i="5"/>
  <c r="C143" i="5"/>
  <c r="D143" i="5"/>
  <c r="E143" i="5"/>
  <c r="F143" i="5"/>
  <c r="G143" i="5"/>
  <c r="H143" i="5"/>
  <c r="I143" i="5"/>
  <c r="J143" i="5"/>
  <c r="K143" i="5"/>
  <c r="L143" i="5"/>
  <c r="M143" i="5"/>
  <c r="N143" i="5"/>
  <c r="O143" i="5"/>
  <c r="P143" i="5"/>
  <c r="Q143" i="5"/>
  <c r="R143" i="5"/>
  <c r="S143" i="5"/>
  <c r="T143" i="5"/>
  <c r="U143" i="5"/>
  <c r="V143" i="5"/>
  <c r="W143" i="5"/>
  <c r="X143" i="5"/>
  <c r="Y143" i="5"/>
  <c r="A144" i="5"/>
  <c r="B144" i="5"/>
  <c r="C144" i="5"/>
  <c r="D144" i="5"/>
  <c r="E144" i="5"/>
  <c r="F144" i="5"/>
  <c r="G144" i="5"/>
  <c r="H144" i="5"/>
  <c r="I144" i="5"/>
  <c r="J144" i="5"/>
  <c r="K144" i="5"/>
  <c r="L144" i="5"/>
  <c r="M144" i="5"/>
  <c r="N144" i="5"/>
  <c r="O144" i="5"/>
  <c r="P144" i="5"/>
  <c r="Q144" i="5"/>
  <c r="R144" i="5"/>
  <c r="S144" i="5"/>
  <c r="T144" i="5"/>
  <c r="X144" i="5"/>
  <c r="Y144" i="5"/>
  <c r="Z144" i="5"/>
  <c r="A145" i="5"/>
  <c r="B145" i="5"/>
  <c r="C145" i="5"/>
  <c r="D145" i="5"/>
  <c r="E145" i="5"/>
  <c r="F145" i="5"/>
  <c r="G145" i="5"/>
  <c r="H145" i="5"/>
  <c r="I145" i="5"/>
  <c r="J145" i="5"/>
  <c r="K145" i="5"/>
  <c r="L145" i="5"/>
  <c r="M145" i="5"/>
  <c r="N145" i="5"/>
  <c r="O145" i="5"/>
  <c r="P145" i="5"/>
  <c r="Q145" i="5"/>
  <c r="R145" i="5"/>
  <c r="S145" i="5"/>
  <c r="T145" i="5"/>
  <c r="U145" i="5"/>
  <c r="V145" i="5"/>
  <c r="W145" i="5"/>
  <c r="X145" i="5"/>
  <c r="Y145" i="5"/>
  <c r="Z145" i="5" a="1"/>
  <c r="Z145" i="5" s="1"/>
  <c r="C146" i="5"/>
  <c r="C165" i="5" s="1"/>
  <c r="D146" i="5"/>
  <c r="D165" i="5" s="1"/>
  <c r="E146" i="5"/>
  <c r="E165" i="5" s="1"/>
  <c r="F146" i="5"/>
  <c r="F165" i="5" s="1"/>
  <c r="G146" i="5"/>
  <c r="G165" i="5" s="1"/>
  <c r="H146" i="5"/>
  <c r="H165" i="5" s="1"/>
  <c r="I146" i="5"/>
  <c r="I165" i="5" s="1"/>
  <c r="J146" i="5"/>
  <c r="J165" i="5" s="1"/>
  <c r="K146" i="5"/>
  <c r="K165" i="5" s="1"/>
  <c r="L146" i="5"/>
  <c r="L165" i="5" s="1"/>
  <c r="M146" i="5"/>
  <c r="M165" i="5" s="1"/>
  <c r="N146" i="5"/>
  <c r="N165" i="5" s="1"/>
  <c r="O146" i="5"/>
  <c r="O165" i="5" s="1"/>
  <c r="P146" i="5"/>
  <c r="P165" i="5" s="1"/>
  <c r="Q146" i="5"/>
  <c r="Q165" i="5" s="1"/>
  <c r="R146" i="5"/>
  <c r="R165" i="5" s="1"/>
  <c r="S146" i="5"/>
  <c r="S165" i="5" s="1"/>
  <c r="T146" i="5"/>
  <c r="T165" i="5" s="1"/>
  <c r="X146" i="5"/>
  <c r="X165" i="5" s="1"/>
  <c r="Y146" i="5"/>
  <c r="Y165" i="5" s="1"/>
  <c r="Z146" i="5"/>
  <c r="B147" i="5"/>
  <c r="C147" i="5"/>
  <c r="D147" i="5"/>
  <c r="E147" i="5"/>
  <c r="F147" i="5"/>
  <c r="G147" i="5"/>
  <c r="H147" i="5"/>
  <c r="I147" i="5"/>
  <c r="J147" i="5"/>
  <c r="K147" i="5"/>
  <c r="L147" i="5"/>
  <c r="M147" i="5"/>
  <c r="N147" i="5"/>
  <c r="O147" i="5"/>
  <c r="P147" i="5"/>
  <c r="Q147" i="5"/>
  <c r="R147" i="5"/>
  <c r="S147" i="5"/>
  <c r="T147" i="5"/>
  <c r="U147" i="5"/>
  <c r="V147" i="5"/>
  <c r="W147" i="5"/>
  <c r="W148" i="5" s="1"/>
  <c r="X147" i="5"/>
  <c r="X148" i="5" s="1"/>
  <c r="Y147" i="5"/>
  <c r="Y148" i="5" s="1"/>
  <c r="Z147" i="5" a="1"/>
  <c r="Z147" i="5" s="1"/>
  <c r="B148" i="5"/>
  <c r="C148" i="5"/>
  <c r="D148" i="5"/>
  <c r="E148" i="5"/>
  <c r="F148" i="5"/>
  <c r="G148" i="5"/>
  <c r="H148" i="5"/>
  <c r="I148" i="5"/>
  <c r="J148" i="5"/>
  <c r="K148" i="5"/>
  <c r="L148" i="5"/>
  <c r="M148" i="5"/>
  <c r="N148" i="5"/>
  <c r="O148" i="5"/>
  <c r="P148" i="5"/>
  <c r="Q148" i="5"/>
  <c r="R148" i="5"/>
  <c r="S148" i="5"/>
  <c r="T148" i="5"/>
  <c r="U148" i="5"/>
  <c r="V148" i="5"/>
  <c r="A149" i="5"/>
  <c r="B149" i="5"/>
  <c r="C149" i="5"/>
  <c r="D149" i="5"/>
  <c r="E149" i="5"/>
  <c r="F149" i="5"/>
  <c r="G149" i="5"/>
  <c r="H149" i="5"/>
  <c r="I149" i="5"/>
  <c r="J149" i="5"/>
  <c r="K149" i="5"/>
  <c r="L149" i="5"/>
  <c r="M149" i="5"/>
  <c r="N149" i="5"/>
  <c r="O149" i="5"/>
  <c r="P149" i="5"/>
  <c r="Q149" i="5"/>
  <c r="R149" i="5"/>
  <c r="S149" i="5"/>
  <c r="T149" i="5"/>
  <c r="U149" i="5"/>
  <c r="V149" i="5"/>
  <c r="W149" i="5"/>
  <c r="X149" i="5"/>
  <c r="Y149" i="5"/>
  <c r="Z151" i="5"/>
  <c r="A154" i="5"/>
  <c r="B154" i="5"/>
  <c r="C154" i="5"/>
  <c r="D154" i="5"/>
  <c r="E154" i="5"/>
  <c r="F154" i="5"/>
  <c r="G154" i="5"/>
  <c r="H154" i="5"/>
  <c r="I154" i="5"/>
  <c r="J154" i="5"/>
  <c r="K154" i="5"/>
  <c r="L154" i="5"/>
  <c r="M154" i="5"/>
  <c r="N154" i="5"/>
  <c r="O154" i="5"/>
  <c r="P154" i="5"/>
  <c r="Q154" i="5"/>
  <c r="R154" i="5"/>
  <c r="S154" i="5"/>
  <c r="T154" i="5"/>
  <c r="U154" i="5"/>
  <c r="V154" i="5"/>
  <c r="W154" i="5"/>
  <c r="X154" i="5"/>
  <c r="Y154" i="5"/>
  <c r="Z154" i="5"/>
  <c r="B155" i="5"/>
  <c r="C155" i="5"/>
  <c r="D155" i="5"/>
  <c r="E155" i="5"/>
  <c r="F155" i="5"/>
  <c r="G155" i="5"/>
  <c r="H155" i="5"/>
  <c r="I155" i="5"/>
  <c r="J155" i="5"/>
  <c r="K155" i="5"/>
  <c r="L155" i="5"/>
  <c r="M155" i="5"/>
  <c r="N155" i="5"/>
  <c r="O155" i="5"/>
  <c r="P155" i="5"/>
  <c r="Q155" i="5"/>
  <c r="R155" i="5"/>
  <c r="S155" i="5"/>
  <c r="T155" i="5"/>
  <c r="U155" i="5"/>
  <c r="V155" i="5"/>
  <c r="W155" i="5"/>
  <c r="X155" i="5"/>
  <c r="Y155" i="5"/>
  <c r="Z155" i="5" a="1"/>
  <c r="Z155" i="5" s="1"/>
  <c r="Z156" i="5"/>
  <c r="B157" i="5"/>
  <c r="C157" i="5"/>
  <c r="D157" i="5"/>
  <c r="E157" i="5"/>
  <c r="F157" i="5"/>
  <c r="G157" i="5"/>
  <c r="H157" i="5"/>
  <c r="I157" i="5"/>
  <c r="J157" i="5"/>
  <c r="K157" i="5"/>
  <c r="L157" i="5"/>
  <c r="M157" i="5"/>
  <c r="N157" i="5"/>
  <c r="O157" i="5"/>
  <c r="P157" i="5"/>
  <c r="Q157" i="5"/>
  <c r="R157" i="5"/>
  <c r="S157" i="5"/>
  <c r="T157" i="5"/>
  <c r="U157" i="5"/>
  <c r="V157" i="5"/>
  <c r="W157" i="5"/>
  <c r="X157" i="5"/>
  <c r="Y157" i="5"/>
  <c r="Y158" i="5" s="1"/>
  <c r="Z157" i="5" a="1"/>
  <c r="Z157" i="5" s="1"/>
  <c r="B158" i="5"/>
  <c r="C158" i="5"/>
  <c r="D158" i="5"/>
  <c r="E158" i="5"/>
  <c r="F158" i="5"/>
  <c r="G158" i="5"/>
  <c r="H158" i="5"/>
  <c r="I158" i="5"/>
  <c r="J158" i="5"/>
  <c r="K158" i="5"/>
  <c r="L158" i="5"/>
  <c r="M158" i="5"/>
  <c r="N158" i="5"/>
  <c r="O158" i="5"/>
  <c r="P158" i="5"/>
  <c r="Q158" i="5"/>
  <c r="R158" i="5"/>
  <c r="S158" i="5"/>
  <c r="T158" i="5"/>
  <c r="U158" i="5"/>
  <c r="V158" i="5"/>
  <c r="W158" i="5"/>
  <c r="X158" i="5"/>
  <c r="A159" i="5"/>
  <c r="B159" i="5"/>
  <c r="B164" i="5" s="1"/>
  <c r="C159" i="5"/>
  <c r="C164" i="5" s="1"/>
  <c r="D159" i="5"/>
  <c r="D164" i="5" s="1"/>
  <c r="E159" i="5"/>
  <c r="E164" i="5" s="1"/>
  <c r="F159" i="5"/>
  <c r="F164" i="5" s="1"/>
  <c r="G159" i="5"/>
  <c r="G164" i="5" s="1"/>
  <c r="H159" i="5"/>
  <c r="H164" i="5" s="1"/>
  <c r="I159" i="5"/>
  <c r="I164" i="5" s="1"/>
  <c r="J159" i="5"/>
  <c r="J164" i="5" s="1"/>
  <c r="K159" i="5"/>
  <c r="K164" i="5" s="1"/>
  <c r="L159" i="5"/>
  <c r="L164" i="5" s="1"/>
  <c r="M159" i="5"/>
  <c r="M164" i="5" s="1"/>
  <c r="N159" i="5"/>
  <c r="N164" i="5" s="1"/>
  <c r="O159" i="5"/>
  <c r="O164" i="5" s="1"/>
  <c r="P159" i="5"/>
  <c r="P164" i="5" s="1"/>
  <c r="Q159" i="5"/>
  <c r="Q164" i="5" s="1"/>
  <c r="R159" i="5"/>
  <c r="R164" i="5" s="1"/>
  <c r="S159" i="5"/>
  <c r="S164" i="5" s="1"/>
  <c r="T159" i="5"/>
  <c r="T164" i="5" s="1"/>
  <c r="U159" i="5"/>
  <c r="U164" i="5" s="1"/>
  <c r="V159" i="5"/>
  <c r="V164" i="5" s="1"/>
  <c r="W159" i="5"/>
  <c r="W164" i="5" s="1"/>
  <c r="X159" i="5"/>
  <c r="X164" i="5" s="1"/>
  <c r="Y159" i="5"/>
  <c r="Y164" i="5" s="1"/>
  <c r="Z159" i="5"/>
  <c r="B160" i="5"/>
  <c r="C160" i="5"/>
  <c r="D160" i="5"/>
  <c r="E160" i="5"/>
  <c r="F160" i="5"/>
  <c r="G160" i="5"/>
  <c r="H160" i="5"/>
  <c r="I160" i="5"/>
  <c r="J160" i="5"/>
  <c r="K160" i="5"/>
  <c r="L160" i="5"/>
  <c r="M160" i="5"/>
  <c r="N160" i="5"/>
  <c r="O160" i="5"/>
  <c r="P160" i="5"/>
  <c r="Q160" i="5"/>
  <c r="R160" i="5"/>
  <c r="S160" i="5"/>
  <c r="T160" i="5"/>
  <c r="U160" i="5"/>
  <c r="V160" i="5"/>
  <c r="W160" i="5"/>
  <c r="X160" i="5"/>
  <c r="Y160" i="5"/>
  <c r="Z160" i="5" a="1"/>
  <c r="Z160" i="5" s="1"/>
  <c r="Z161" i="5"/>
  <c r="B162" i="5"/>
  <c r="C162" i="5"/>
  <c r="C163" i="5" s="1"/>
  <c r="D162" i="5"/>
  <c r="D163" i="5" s="1"/>
  <c r="E162" i="5"/>
  <c r="E163" i="5" s="1"/>
  <c r="F162" i="5"/>
  <c r="F163" i="5" s="1"/>
  <c r="G162" i="5"/>
  <c r="G163" i="5" s="1"/>
  <c r="H162" i="5"/>
  <c r="H163" i="5" s="1"/>
  <c r="I162" i="5"/>
  <c r="I163" i="5" s="1"/>
  <c r="J162" i="5"/>
  <c r="J163" i="5" s="1"/>
  <c r="K162" i="5"/>
  <c r="K163" i="5" s="1"/>
  <c r="L162" i="5"/>
  <c r="L163" i="5" s="1"/>
  <c r="M162" i="5"/>
  <c r="M163" i="5" s="1"/>
  <c r="N162" i="5"/>
  <c r="N163" i="5" s="1"/>
  <c r="F118" i="5" l="1"/>
  <c r="H118" i="5"/>
  <c r="K118" i="5"/>
  <c r="D118" i="5"/>
  <c r="G118" i="5"/>
  <c r="J118" i="5"/>
  <c r="M118" i="5"/>
  <c r="E118" i="5"/>
  <c r="I118" i="5"/>
  <c r="L118" i="5"/>
  <c r="Z115" i="5" a="1"/>
  <c r="Z115" i="5" s="1"/>
  <c r="B118" i="5"/>
  <c r="W118" i="5"/>
  <c r="X118" i="5"/>
  <c r="D43" i="2"/>
  <c r="F43" i="2"/>
  <c r="D44" i="2"/>
  <c r="F44" i="2"/>
  <c r="D45" i="2"/>
  <c r="E12" i="4" s="1"/>
  <c r="F45" i="2"/>
  <c r="N118" i="5"/>
  <c r="O118" i="5"/>
  <c r="P118" i="5"/>
  <c r="Q118" i="5"/>
  <c r="R118" i="5"/>
  <c r="S118" i="5"/>
  <c r="T118" i="5"/>
  <c r="U118" i="5"/>
  <c r="V118" i="5"/>
  <c r="D34" i="2"/>
  <c r="E27" i="4" s="1"/>
  <c r="G27" i="4" s="1"/>
  <c r="F34" i="2"/>
  <c r="D35" i="2"/>
  <c r="E26" i="4" s="1"/>
  <c r="G26" i="4" s="1"/>
  <c r="F35" i="2"/>
  <c r="D36" i="2"/>
  <c r="E25" i="4" s="1"/>
  <c r="G25" i="4" s="1"/>
  <c r="F36" i="2"/>
  <c r="D37" i="2"/>
  <c r="F37" i="2"/>
  <c r="D38" i="2"/>
  <c r="F38" i="2"/>
  <c r="D39" i="2"/>
  <c r="E23" i="4" s="1"/>
  <c r="G23" i="4" s="1"/>
  <c r="F39" i="2"/>
  <c r="D40" i="2"/>
  <c r="E24" i="4" s="1"/>
  <c r="G24" i="4" s="1"/>
  <c r="F40" i="2"/>
  <c r="F41" i="2"/>
  <c r="D41" i="2"/>
  <c r="E22" i="4" s="1"/>
  <c r="S61" i="5"/>
  <c r="H61" i="5"/>
  <c r="V61" i="5"/>
  <c r="E6" i="2"/>
  <c r="J61" i="5"/>
  <c r="W61" i="5"/>
  <c r="R61" i="5"/>
  <c r="L61" i="5"/>
  <c r="Y61" i="5"/>
  <c r="X61" i="5"/>
  <c r="K61" i="5"/>
  <c r="E24" i="2"/>
  <c r="Z148" i="5"/>
  <c r="Z143" i="5"/>
  <c r="I61" i="5"/>
  <c r="U61" i="5"/>
  <c r="T61" i="5"/>
  <c r="N61" i="5"/>
  <c r="E18" i="2"/>
  <c r="D42" i="2"/>
  <c r="F42" i="2"/>
  <c r="G9" i="2"/>
  <c r="F9" i="2"/>
  <c r="G11" i="2"/>
  <c r="F11" i="2"/>
  <c r="G12" i="2"/>
  <c r="F12" i="2"/>
  <c r="F17" i="2"/>
  <c r="G17" i="2"/>
  <c r="Z89" i="5" a="1"/>
  <c r="Z89" i="5" s="1"/>
  <c r="Z90" i="5" a="1"/>
  <c r="Z90" i="5" s="1"/>
  <c r="B28" i="2"/>
  <c r="D28" i="2" s="1"/>
  <c r="Z93" i="5" a="1"/>
  <c r="Z93" i="5" s="1"/>
  <c r="Z92" i="5" a="1"/>
  <c r="Z92" i="5" s="1"/>
  <c r="Z94" i="5" s="1"/>
  <c r="B29" i="2"/>
  <c r="D29" i="2" s="1"/>
  <c r="Z96" i="5" a="1"/>
  <c r="Z96" i="5" s="1"/>
  <c r="B30" i="2"/>
  <c r="D30" i="2" s="1"/>
  <c r="G30" i="2" s="1"/>
  <c r="Z95" i="5" a="1"/>
  <c r="Z95" i="5" s="1"/>
  <c r="Z97" i="5" s="1"/>
  <c r="Z98" i="5" a="1"/>
  <c r="Z98" i="5" s="1"/>
  <c r="Z100" i="5" s="1"/>
  <c r="Z99" i="5" a="1"/>
  <c r="Z99" i="5" s="1"/>
  <c r="B31" i="2"/>
  <c r="D31" i="2" s="1"/>
  <c r="G31" i="2" s="1"/>
  <c r="B32" i="2"/>
  <c r="D32" i="2" s="1"/>
  <c r="G32" i="2" s="1"/>
  <c r="Z101" i="5" a="1"/>
  <c r="Z101" i="5" s="1"/>
  <c r="Z102" i="5" a="1"/>
  <c r="Z102" i="5" s="1"/>
  <c r="I45" i="2"/>
  <c r="I44" i="2"/>
  <c r="I43" i="2"/>
  <c r="I42" i="2"/>
  <c r="I39" i="2"/>
  <c r="I40" i="2"/>
  <c r="I37" i="2"/>
  <c r="I38" i="2"/>
  <c r="AF117" i="6"/>
  <c r="AE117" i="6"/>
  <c r="E5" i="2"/>
  <c r="B63" i="5"/>
  <c r="B59" i="5"/>
  <c r="C63" i="5"/>
  <c r="C59" i="5"/>
  <c r="D63" i="5"/>
  <c r="D59" i="5"/>
  <c r="E63" i="5"/>
  <c r="E59" i="5"/>
  <c r="F63" i="5"/>
  <c r="F59" i="5"/>
  <c r="G63" i="5"/>
  <c r="G59" i="5"/>
  <c r="H63" i="5"/>
  <c r="H59" i="5"/>
  <c r="I63" i="5"/>
  <c r="I59" i="5"/>
  <c r="J63" i="5"/>
  <c r="J59" i="5"/>
  <c r="K63" i="5"/>
  <c r="K59" i="5"/>
  <c r="L63" i="5"/>
  <c r="L59" i="5"/>
  <c r="M63" i="5"/>
  <c r="M59" i="5"/>
  <c r="N63" i="5"/>
  <c r="N59" i="5"/>
  <c r="O63" i="5"/>
  <c r="O59" i="5"/>
  <c r="P63" i="5"/>
  <c r="P59" i="5"/>
  <c r="Q63" i="5"/>
  <c r="Q59" i="5"/>
  <c r="R63" i="5"/>
  <c r="R59" i="5"/>
  <c r="S63" i="5"/>
  <c r="S59" i="5"/>
  <c r="T63" i="5"/>
  <c r="T59" i="5"/>
  <c r="U63" i="5"/>
  <c r="U59" i="5"/>
  <c r="V63" i="5"/>
  <c r="V59" i="5"/>
  <c r="W63" i="5"/>
  <c r="W59" i="5"/>
  <c r="X63" i="5"/>
  <c r="X59" i="5"/>
  <c r="Y63" i="5"/>
  <c r="Y59" i="5"/>
  <c r="E8" i="2"/>
  <c r="B62" i="5"/>
  <c r="E13" i="2"/>
  <c r="B61" i="5"/>
  <c r="B38" i="5"/>
  <c r="B78" i="5"/>
  <c r="B173" i="5"/>
  <c r="C38" i="5"/>
  <c r="C78" i="5"/>
  <c r="C173" i="5"/>
  <c r="D38" i="5"/>
  <c r="D78" i="5"/>
  <c r="D173" i="5"/>
  <c r="E38" i="5"/>
  <c r="E78" i="5"/>
  <c r="E173" i="5"/>
  <c r="F38" i="5"/>
  <c r="F78" i="5"/>
  <c r="F173" i="5"/>
  <c r="G38" i="5"/>
  <c r="G78" i="5"/>
  <c r="G173" i="5"/>
  <c r="H78" i="5"/>
  <c r="H173" i="5"/>
  <c r="H38" i="5"/>
  <c r="I78" i="5"/>
  <c r="I173" i="5"/>
  <c r="I38" i="5"/>
  <c r="J78" i="5"/>
  <c r="J173" i="5"/>
  <c r="J38" i="5"/>
  <c r="K38" i="5"/>
  <c r="K173" i="5"/>
  <c r="K78" i="5"/>
  <c r="L38" i="5"/>
  <c r="L78" i="5"/>
  <c r="L173" i="5"/>
  <c r="M78" i="5"/>
  <c r="M38" i="5"/>
  <c r="M173" i="5"/>
  <c r="N38" i="5"/>
  <c r="N78" i="5"/>
  <c r="N173" i="5"/>
  <c r="O78" i="5"/>
  <c r="O38" i="5"/>
  <c r="O173" i="5"/>
  <c r="P78" i="5"/>
  <c r="P38" i="5"/>
  <c r="P173" i="5"/>
  <c r="Q38" i="5"/>
  <c r="Q173" i="5"/>
  <c r="Q78" i="5"/>
  <c r="R38" i="5"/>
  <c r="R173" i="5"/>
  <c r="R78" i="5"/>
  <c r="S38" i="5"/>
  <c r="S173" i="5"/>
  <c r="S78" i="5"/>
  <c r="T38" i="5"/>
  <c r="T78" i="5"/>
  <c r="T173" i="5"/>
  <c r="U38" i="5"/>
  <c r="U173" i="5"/>
  <c r="U78" i="5"/>
  <c r="V38" i="5"/>
  <c r="V173" i="5"/>
  <c r="V78" i="5"/>
  <c r="W173" i="5"/>
  <c r="W78" i="5"/>
  <c r="W38" i="5"/>
  <c r="X173" i="5"/>
  <c r="X78" i="5"/>
  <c r="X38" i="5"/>
  <c r="Y78" i="5"/>
  <c r="Y173" i="5"/>
  <c r="Y38" i="5"/>
  <c r="C107" i="5"/>
  <c r="C108" i="5" s="1"/>
  <c r="B107" i="5"/>
  <c r="N107" i="5"/>
  <c r="N108" i="5" s="1"/>
  <c r="Y105" i="5"/>
  <c r="X105" i="5"/>
  <c r="W107" i="5"/>
  <c r="W108" i="5" s="1"/>
  <c r="X107" i="5"/>
  <c r="V107" i="5"/>
  <c r="V108" i="5" s="1"/>
  <c r="Y107" i="5"/>
  <c r="Q107" i="5"/>
  <c r="Q108" i="5" s="1"/>
  <c r="P107" i="5"/>
  <c r="P108" i="5" s="1"/>
  <c r="O107" i="5"/>
  <c r="O108" i="5" s="1"/>
  <c r="M107" i="5"/>
  <c r="M108" i="5" s="1"/>
  <c r="L107" i="5"/>
  <c r="L108" i="5" s="1"/>
  <c r="K107" i="5"/>
  <c r="K108" i="5" s="1"/>
  <c r="J107" i="5"/>
  <c r="J108" i="5" s="1"/>
  <c r="I107" i="5"/>
  <c r="I108" i="5" s="1"/>
  <c r="H107" i="5"/>
  <c r="H108" i="5" s="1"/>
  <c r="G107" i="5"/>
  <c r="G108" i="5" s="1"/>
  <c r="F107" i="5"/>
  <c r="F108" i="5" s="1"/>
  <c r="E107" i="5"/>
  <c r="E108" i="5" s="1"/>
  <c r="D107" i="5"/>
  <c r="D108" i="5" s="1"/>
  <c r="R107" i="5"/>
  <c r="R108" i="5" s="1"/>
  <c r="S107" i="5"/>
  <c r="S108" i="5" s="1"/>
  <c r="T107" i="5"/>
  <c r="T108" i="5" s="1"/>
  <c r="U107" i="5"/>
  <c r="U108" i="5" s="1"/>
  <c r="D152" i="5"/>
  <c r="C152" i="5"/>
  <c r="B152" i="5"/>
  <c r="Y150" i="5"/>
  <c r="X150" i="5"/>
  <c r="W150" i="5"/>
  <c r="V150" i="5"/>
  <c r="U150" i="5"/>
  <c r="T150" i="5"/>
  <c r="S150" i="5"/>
  <c r="R150" i="5"/>
  <c r="Q150" i="5"/>
  <c r="P150" i="5"/>
  <c r="I152" i="5"/>
  <c r="N150" i="5"/>
  <c r="M150" i="5"/>
  <c r="G152" i="5"/>
  <c r="K150" i="5"/>
  <c r="J150" i="5"/>
  <c r="I150" i="5"/>
  <c r="H150" i="5"/>
  <c r="G150" i="5"/>
  <c r="F150" i="5"/>
  <c r="E150" i="5"/>
  <c r="D150" i="5"/>
  <c r="C150" i="5"/>
  <c r="B150" i="5"/>
  <c r="Z150" i="5" s="1" a="1"/>
  <c r="Z150" i="5" s="1"/>
  <c r="O150" i="5"/>
  <c r="X152" i="5"/>
  <c r="X153" i="5" s="1"/>
  <c r="Y152" i="5"/>
  <c r="Y153" i="5" s="1"/>
  <c r="L150" i="5"/>
  <c r="W152" i="5"/>
  <c r="W153" i="5" s="1"/>
  <c r="V152" i="5"/>
  <c r="V153" i="5" s="1"/>
  <c r="U152" i="5"/>
  <c r="U153" i="5" s="1"/>
  <c r="T152" i="5"/>
  <c r="T153" i="5" s="1"/>
  <c r="S152" i="5"/>
  <c r="R152" i="5"/>
  <c r="Q152" i="5"/>
  <c r="P152" i="5"/>
  <c r="O152" i="5"/>
  <c r="N152" i="5"/>
  <c r="M152" i="5"/>
  <c r="L152" i="5"/>
  <c r="K152" i="5"/>
  <c r="J152" i="5"/>
  <c r="H152" i="5"/>
  <c r="F152" i="5"/>
  <c r="E152" i="5"/>
  <c r="Z149" i="5"/>
  <c r="Q162" i="5"/>
  <c r="Q163" i="5" s="1"/>
  <c r="O162" i="5"/>
  <c r="O163" i="5" s="1"/>
  <c r="P162" i="5"/>
  <c r="P163" i="5" s="1"/>
  <c r="Y162" i="5"/>
  <c r="Y163" i="5" s="1"/>
  <c r="X162" i="5"/>
  <c r="X163" i="5" s="1"/>
  <c r="W162" i="5"/>
  <c r="W163" i="5" s="1"/>
  <c r="V162" i="5"/>
  <c r="V163" i="5" s="1"/>
  <c r="U162" i="5"/>
  <c r="U163" i="5" s="1"/>
  <c r="T162" i="5"/>
  <c r="T163" i="5" s="1"/>
  <c r="S162" i="5"/>
  <c r="S163" i="5" s="1"/>
  <c r="R162" i="5"/>
  <c r="R163" i="5" s="1"/>
  <c r="Z162" i="5" a="1"/>
  <c r="Z162" i="5" s="1"/>
  <c r="Z163" i="5" s="1"/>
  <c r="B163" i="5"/>
  <c r="D47" i="2"/>
  <c r="AA59" i="5" s="1"/>
  <c r="AA61" i="5" s="1"/>
  <c r="L62" i="5"/>
  <c r="R62" i="5"/>
  <c r="U62" i="5"/>
  <c r="X62" i="5"/>
  <c r="AE141" i="6"/>
  <c r="O62" i="5"/>
  <c r="E10" i="2"/>
  <c r="E7" i="2"/>
  <c r="D62" i="5"/>
  <c r="D64" i="5" s="1"/>
  <c r="E62" i="5"/>
  <c r="E64" i="5" s="1"/>
  <c r="G62" i="5"/>
  <c r="G64" i="5" s="1"/>
  <c r="I62" i="5"/>
  <c r="K62" i="5"/>
  <c r="N62" i="5"/>
  <c r="Q62" i="5"/>
  <c r="T62" i="5"/>
  <c r="W62" i="5"/>
  <c r="C62" i="5"/>
  <c r="F62" i="5"/>
  <c r="H62" i="5"/>
  <c r="J62" i="5"/>
  <c r="M62" i="5"/>
  <c r="P62" i="5"/>
  <c r="S62" i="5"/>
  <c r="V62" i="5"/>
  <c r="Y62" i="5"/>
  <c r="C61" i="5"/>
  <c r="D61" i="5"/>
  <c r="E61" i="5"/>
  <c r="F61" i="5"/>
  <c r="G61" i="5"/>
  <c r="M61" i="5"/>
  <c r="E19" i="2"/>
  <c r="E20" i="2"/>
  <c r="E21" i="2"/>
  <c r="E22" i="2"/>
  <c r="E23" i="2"/>
  <c r="O61" i="5"/>
  <c r="P61" i="5"/>
  <c r="E25" i="2"/>
  <c r="Q61" i="5"/>
  <c r="Z118" i="5"/>
  <c r="Z123" i="5"/>
  <c r="Z128" i="5"/>
  <c r="Z133" i="5"/>
  <c r="Z138" i="5"/>
  <c r="B166" i="5"/>
  <c r="U166" i="5"/>
  <c r="V166" i="5"/>
  <c r="W166" i="5"/>
  <c r="C166" i="5"/>
  <c r="D166" i="5"/>
  <c r="E166" i="5"/>
  <c r="F166" i="5"/>
  <c r="G166" i="5"/>
  <c r="H166" i="5"/>
  <c r="I166" i="5"/>
  <c r="J166" i="5"/>
  <c r="K166" i="5"/>
  <c r="L166" i="5"/>
  <c r="M166" i="5"/>
  <c r="N166" i="5"/>
  <c r="O166" i="5"/>
  <c r="P166" i="5"/>
  <c r="Q166" i="5"/>
  <c r="R166" i="5"/>
  <c r="S166" i="5"/>
  <c r="T166" i="5"/>
  <c r="X166" i="5"/>
  <c r="Y166" i="5"/>
  <c r="Z113" i="5"/>
  <c r="Z158" i="5"/>
  <c r="G43" i="2" l="1"/>
  <c r="E14" i="4"/>
  <c r="G14" i="4" s="1"/>
  <c r="G37" i="2"/>
  <c r="E28" i="4"/>
  <c r="G28" i="4" s="1"/>
  <c r="G38" i="2"/>
  <c r="E29" i="4"/>
  <c r="G29" i="4" s="1"/>
  <c r="R153" i="5"/>
  <c r="G44" i="2"/>
  <c r="E13" i="4"/>
  <c r="G13" i="4" s="1"/>
  <c r="T58" i="5"/>
  <c r="T167" i="5" s="1"/>
  <c r="T168" i="5" s="1"/>
  <c r="U58" i="5"/>
  <c r="U167" i="5" s="1"/>
  <c r="U168" i="5" s="1"/>
  <c r="V58" i="5"/>
  <c r="V167" i="5" s="1"/>
  <c r="V168" i="5" s="1"/>
  <c r="W58" i="5"/>
  <c r="W167" i="5" s="1"/>
  <c r="W168" i="5" s="1"/>
  <c r="X58" i="5"/>
  <c r="X167" i="5" s="1"/>
  <c r="X168" i="5" s="1"/>
  <c r="Y58" i="5"/>
  <c r="Y167" i="5" s="1"/>
  <c r="Y168" i="5" s="1"/>
  <c r="S153" i="5"/>
  <c r="Q153" i="5"/>
  <c r="P153" i="5"/>
  <c r="O64" i="5"/>
  <c r="Q64" i="5"/>
  <c r="P65" i="5"/>
  <c r="G34" i="2"/>
  <c r="AA41" i="5"/>
  <c r="AA58" i="5" s="1"/>
  <c r="G35" i="2"/>
  <c r="AA42" i="5"/>
  <c r="G36" i="2"/>
  <c r="AA43" i="5"/>
  <c r="AA48" i="5"/>
  <c r="G41" i="2"/>
  <c r="AA49" i="5"/>
  <c r="O153" i="5"/>
  <c r="C64" i="5"/>
  <c r="M65" i="5"/>
  <c r="G42" i="2"/>
  <c r="E18" i="4"/>
  <c r="G18" i="4" s="1"/>
  <c r="C58" i="5"/>
  <c r="C167" i="5" s="1"/>
  <c r="C168" i="5" s="1"/>
  <c r="D58" i="5"/>
  <c r="D167" i="5" s="1"/>
  <c r="D168" i="5" s="1"/>
  <c r="E58" i="5"/>
  <c r="E167" i="5" s="1"/>
  <c r="E168" i="5" s="1"/>
  <c r="F58" i="5"/>
  <c r="F167" i="5" s="1"/>
  <c r="F168" i="5" s="1"/>
  <c r="J58" i="5"/>
  <c r="J167" i="5" s="1"/>
  <c r="J168" i="5" s="1"/>
  <c r="K58" i="5"/>
  <c r="K167" i="5" s="1"/>
  <c r="K168" i="5" s="1"/>
  <c r="L58" i="5"/>
  <c r="L167" i="5" s="1"/>
  <c r="L168" i="5" s="1"/>
  <c r="M58" i="5"/>
  <c r="M167" i="5" s="1"/>
  <c r="M168" i="5" s="1"/>
  <c r="N58" i="5"/>
  <c r="N167" i="5" s="1"/>
  <c r="N168" i="5" s="1"/>
  <c r="O58" i="5"/>
  <c r="O167" i="5" s="1"/>
  <c r="O168" i="5" s="1"/>
  <c r="P58" i="5"/>
  <c r="P167" i="5" s="1"/>
  <c r="P168" i="5" s="1"/>
  <c r="Q58" i="5"/>
  <c r="Q167" i="5" s="1"/>
  <c r="Q168" i="5" s="1"/>
  <c r="R58" i="5"/>
  <c r="R167" i="5" s="1"/>
  <c r="R168" i="5" s="1"/>
  <c r="S58" i="5"/>
  <c r="S167" i="5" s="1"/>
  <c r="S168" i="5" s="1"/>
  <c r="X108" i="5"/>
  <c r="Y108" i="5"/>
  <c r="N153" i="5"/>
  <c r="M153" i="5"/>
  <c r="L153" i="5"/>
  <c r="K153" i="5"/>
  <c r="J153" i="5"/>
  <c r="F64" i="5"/>
  <c r="M64" i="5"/>
  <c r="G6" i="2"/>
  <c r="F6" i="2"/>
  <c r="G24" i="2"/>
  <c r="F24" i="2"/>
  <c r="G18" i="2"/>
  <c r="F18" i="2"/>
  <c r="E30" i="4"/>
  <c r="G22" i="4"/>
  <c r="G30" i="4" s="1"/>
  <c r="Z86" i="5"/>
  <c r="Z91" i="5"/>
  <c r="Z59" i="5"/>
  <c r="G28" i="2"/>
  <c r="E15" i="4"/>
  <c r="G12" i="4"/>
  <c r="G15" i="4" s="1"/>
  <c r="A160" i="5"/>
  <c r="AA52" i="5"/>
  <c r="A155" i="5"/>
  <c r="AA51" i="5"/>
  <c r="A150" i="5"/>
  <c r="AA50" i="5"/>
  <c r="A130" i="5"/>
  <c r="AA46" i="5"/>
  <c r="A135" i="5"/>
  <c r="AA47" i="5"/>
  <c r="AA44" i="5"/>
  <c r="A120" i="5"/>
  <c r="A125" i="5"/>
  <c r="AA45" i="5"/>
  <c r="G5" i="2"/>
  <c r="F5" i="2"/>
  <c r="B58" i="5"/>
  <c r="B167" i="5" s="1"/>
  <c r="E3" i="2"/>
  <c r="F8" i="2"/>
  <c r="G8" i="2"/>
  <c r="F13" i="2"/>
  <c r="G13" i="2"/>
  <c r="B108" i="5"/>
  <c r="Z107" i="5" a="1"/>
  <c r="Z107" i="5" s="1"/>
  <c r="B153" i="5"/>
  <c r="Z152" i="5" a="1"/>
  <c r="Z152" i="5" s="1"/>
  <c r="Z153" i="5" s="1"/>
  <c r="L65" i="5"/>
  <c r="L64" i="5"/>
  <c r="R65" i="5"/>
  <c r="R64" i="5"/>
  <c r="U65" i="5"/>
  <c r="U64" i="5"/>
  <c r="X65" i="5"/>
  <c r="X64" i="5"/>
  <c r="F10" i="2"/>
  <c r="G10" i="2"/>
  <c r="F7" i="2"/>
  <c r="G7" i="2"/>
  <c r="I65" i="5"/>
  <c r="I64" i="5"/>
  <c r="K65" i="5"/>
  <c r="K64" i="5"/>
  <c r="N65" i="5"/>
  <c r="N64" i="5"/>
  <c r="T65" i="5"/>
  <c r="T64" i="5"/>
  <c r="W65" i="5"/>
  <c r="W64" i="5"/>
  <c r="H65" i="5"/>
  <c r="H64" i="5"/>
  <c r="J65" i="5"/>
  <c r="J64" i="5"/>
  <c r="S65" i="5"/>
  <c r="S64" i="5"/>
  <c r="V65" i="5"/>
  <c r="V64" i="5"/>
  <c r="Y65" i="5"/>
  <c r="Y64" i="5"/>
  <c r="F19" i="2"/>
  <c r="G19" i="2"/>
  <c r="F20" i="2"/>
  <c r="G20" i="2"/>
  <c r="F21" i="2"/>
  <c r="G21" i="2"/>
  <c r="F22" i="2"/>
  <c r="G22" i="2"/>
  <c r="F23" i="2"/>
  <c r="G23" i="2"/>
  <c r="F25" i="2"/>
  <c r="G25" i="2"/>
  <c r="Z103" i="5"/>
  <c r="G58" i="5"/>
  <c r="G167" i="5" s="1"/>
  <c r="G168" i="5" s="1"/>
  <c r="H58" i="5"/>
  <c r="H167" i="5" s="1"/>
  <c r="H168" i="5" s="1"/>
  <c r="I58" i="5"/>
  <c r="I167" i="5" s="1"/>
  <c r="I168" i="5" s="1"/>
  <c r="B64" i="5"/>
  <c r="B65" i="5"/>
  <c r="B83" i="5"/>
  <c r="I153" i="5"/>
  <c r="D153" i="5"/>
  <c r="C153" i="5"/>
  <c r="G153" i="5"/>
  <c r="H153" i="5"/>
  <c r="F153" i="5"/>
  <c r="E153" i="5"/>
  <c r="P64" i="5"/>
  <c r="C65" i="5"/>
  <c r="D65" i="5"/>
  <c r="E65" i="5"/>
  <c r="F65" i="5"/>
  <c r="G65" i="5"/>
  <c r="O65" i="5"/>
  <c r="Q65" i="5"/>
  <c r="Z166" i="5"/>
  <c r="G32" i="4" l="1"/>
  <c r="E32" i="4"/>
  <c r="B168" i="5"/>
  <c r="Z168" i="5" s="1"/>
  <c r="Z167" i="5"/>
  <c r="Z169" i="5" s="1"/>
  <c r="B3" i="2"/>
  <c r="B47" i="2" s="1"/>
  <c r="C3" i="2"/>
  <c r="Z108" i="5"/>
  <c r="AA165" i="5" s="1"/>
  <c r="Z87" i="5"/>
  <c r="Z88" i="5" s="1"/>
  <c r="K175" i="5" s="1"/>
  <c r="D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bmeyers</author>
    <author>A satisfied Microsoft Office user</author>
  </authors>
  <commentList>
    <comment ref="I58" authorId="0" shapeId="0" xr:uid="{E5898C17-A211-46F8-A078-8F45FD367D9D}">
      <text>
        <r>
          <rPr>
            <b/>
            <sz val="11"/>
            <color indexed="81"/>
            <rFont val="Tahoma"/>
            <family val="2"/>
          </rPr>
          <t>bmeyers:</t>
        </r>
        <r>
          <rPr>
            <sz val="8"/>
            <color indexed="81"/>
            <rFont val="Tahoma"/>
            <family val="2"/>
          </rPr>
          <t xml:space="preserve">
</t>
        </r>
        <r>
          <rPr>
            <sz val="11"/>
            <color indexed="81"/>
            <rFont val="Tahoma"/>
            <family val="2"/>
          </rPr>
          <t>The Generator Crew did not put a schedule to LADWP (50MW) after we had already turned over the phones.  The Schedule was put in at 8:30.</t>
        </r>
      </text>
    </comment>
    <comment ref="A167" authorId="1" shapeId="0" xr:uid="{037C6D52-37DF-4C26-AF8D-84077D1C8834}">
      <text>
        <r>
          <rPr>
            <sz val="8"/>
            <color indexed="81"/>
            <rFont val="Tahoma"/>
            <family val="2"/>
          </rPr>
          <t xml:space="preserve">TELLS ME HOW MANY MEGAWATTS THEY SHOULD CUT BACK </t>
        </r>
      </text>
    </comment>
    <comment ref="A168" authorId="1" shapeId="0" xr:uid="{FAEC8541-A26F-4A95-9728-4AA7F23DDE62}">
      <text>
        <r>
          <rPr>
            <sz val="8"/>
            <color indexed="81"/>
            <rFont val="Tahoma"/>
            <family val="2"/>
          </rPr>
          <t>TELLS ME HOW LONG OR SHORT I AM WITH RESPECT TO THE IDEAL POSITION</t>
        </r>
      </text>
    </comment>
    <comment ref="Z169" authorId="1" shapeId="0" xr:uid="{D033CFE3-4F19-4791-A072-71F59C1D5C57}">
      <text>
        <r>
          <rPr>
            <sz val="8"/>
            <color indexed="81"/>
            <rFont val="Tahoma"/>
            <family val="2"/>
          </rPr>
          <t>Amount of generation remaining after ALL obligations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 guzman</author>
    <author>Holden Salisbury</author>
    <author>Mo Elafandi</author>
  </authors>
  <commentList>
    <comment ref="A10" authorId="0" shapeId="0" xr:uid="{BF7FFE91-A548-473A-9368-55A3DD5D15AE}">
      <text>
        <r>
          <rPr>
            <sz val="16"/>
            <color indexed="81"/>
            <rFont val="Tahoma"/>
            <family val="2"/>
          </rPr>
          <t>Amrad</t>
        </r>
      </text>
    </comment>
    <comment ref="D22" authorId="1" shapeId="0" xr:uid="{8B65E546-F5AD-42DC-A752-738980C9261B}">
      <text>
        <r>
          <rPr>
            <sz val="10"/>
            <color indexed="81"/>
            <rFont val="Tahoma"/>
            <family val="2"/>
          </rPr>
          <t>NOTE TO SELF.
The CALPX lines are hidden.  They are rows 16-64.</t>
        </r>
      </text>
    </comment>
    <comment ref="I91" authorId="2" shapeId="0" xr:uid="{C9AB344C-7C9A-4ADA-AA56-E025B212F315}">
      <text>
        <r>
          <rPr>
            <b/>
            <sz val="11"/>
            <color indexed="81"/>
            <rFont val="Tahoma"/>
            <family val="2"/>
          </rPr>
          <t>Mo Elafandi:</t>
        </r>
        <r>
          <rPr>
            <sz val="11"/>
            <color indexed="81"/>
            <rFont val="Tahoma"/>
            <family val="2"/>
          </rPr>
          <t xml:space="preserve">
25mw integrated over 45 mins.</t>
        </r>
      </text>
    </comment>
    <comment ref="AA117" authorId="0" shapeId="0" xr:uid="{8EDF69F6-1375-4C4F-BC7E-17DA872FAE92}">
      <text>
        <r>
          <rPr>
            <b/>
            <sz val="8"/>
            <color indexed="81"/>
            <rFont val="Tahoma"/>
            <family val="2"/>
          </rPr>
          <t>m guzman:</t>
        </r>
        <r>
          <rPr>
            <sz val="8"/>
            <color indexed="81"/>
            <rFont val="Tahoma"/>
            <family val="2"/>
          </rPr>
          <t xml:space="preserve">
12 MW INTEGRATED AT THE QUARTER FOR A 9mw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Kristian Lande</author>
  </authors>
  <commentList>
    <comment ref="A6" authorId="0" shapeId="0" xr:uid="{E1399DC3-E13C-42FB-80F1-59A2FECD88CC}">
      <text>
        <r>
          <rPr>
            <b/>
            <sz val="8"/>
            <color indexed="81"/>
            <rFont val="Tahoma"/>
            <family val="2"/>
          </rPr>
          <t>Kristian Lande:</t>
        </r>
        <r>
          <rPr>
            <sz val="8"/>
            <color indexed="81"/>
            <rFont val="Tahoma"/>
            <family val="2"/>
          </rPr>
          <t xml:space="preserve">
used Midpoint El Paso, non-bondad price for 3/2/99 Gas Daily</t>
        </r>
      </text>
    </comment>
  </commentList>
</comments>
</file>

<file path=xl/sharedStrings.xml><?xml version="1.0" encoding="utf-8"?>
<sst xmlns="http://schemas.openxmlformats.org/spreadsheetml/2006/main" count="892" uniqueCount="396">
  <si>
    <t>Balancing</t>
  </si>
  <si>
    <t>Estimated Load</t>
  </si>
  <si>
    <t>Palo Verde</t>
  </si>
  <si>
    <t>SPS</t>
  </si>
  <si>
    <t>Four Corners</t>
  </si>
  <si>
    <t>Load</t>
  </si>
  <si>
    <t>Spin</t>
  </si>
  <si>
    <t>Hour</t>
  </si>
  <si>
    <t>Volume</t>
  </si>
  <si>
    <t>Price</t>
  </si>
  <si>
    <t>Position</t>
  </si>
  <si>
    <t>Forecast</t>
  </si>
  <si>
    <t>CFE</t>
  </si>
  <si>
    <t>Sum</t>
  </si>
  <si>
    <t>Reserves</t>
  </si>
  <si>
    <t xml:space="preserve"> </t>
  </si>
  <si>
    <t>Short</t>
  </si>
  <si>
    <t>Long</t>
  </si>
  <si>
    <t>Total</t>
  </si>
  <si>
    <t>Commodity Revenue (Cost)</t>
  </si>
  <si>
    <t>Demand Charge</t>
  </si>
  <si>
    <t>Total Volume</t>
  </si>
  <si>
    <t>$/Mwhr Commodity Cost</t>
  </si>
  <si>
    <t>$/Mwhr Total Cost</t>
  </si>
  <si>
    <t>Purchases</t>
  </si>
  <si>
    <t>SPS Avg. Cost Est.</t>
  </si>
  <si>
    <t>Incremental Purchases</t>
  </si>
  <si>
    <t>4C Pre</t>
  </si>
  <si>
    <t>4C Balancing</t>
  </si>
  <si>
    <t>4C Realtime</t>
  </si>
  <si>
    <t>PV Pre</t>
  </si>
  <si>
    <t>PV Balancing</t>
  </si>
  <si>
    <t>PV Realtime</t>
  </si>
  <si>
    <t>SPS Pre</t>
  </si>
  <si>
    <t>Sales</t>
  </si>
  <si>
    <t>Incremental Sales</t>
  </si>
  <si>
    <t>Heat</t>
  </si>
  <si>
    <t>Fuel</t>
  </si>
  <si>
    <t>Generation</t>
  </si>
  <si>
    <t>Rate</t>
  </si>
  <si>
    <t>Cost</t>
  </si>
  <si>
    <t>4 Corners Unit 4</t>
  </si>
  <si>
    <t>4 Corners Unit 5</t>
  </si>
  <si>
    <t>PV Unit 1</t>
  </si>
  <si>
    <t>PV Unit 2</t>
  </si>
  <si>
    <t>PV Unit 3</t>
  </si>
  <si>
    <t>Newman 1</t>
  </si>
  <si>
    <t>Newman 2</t>
  </si>
  <si>
    <t>Newman 3</t>
  </si>
  <si>
    <t>GT 1</t>
  </si>
  <si>
    <t>GT 2</t>
  </si>
  <si>
    <t>GT1+ST1</t>
  </si>
  <si>
    <t>GT2+ST1</t>
  </si>
  <si>
    <t>Newman 4</t>
  </si>
  <si>
    <t>Copper</t>
  </si>
  <si>
    <t>Rio Grande 6</t>
  </si>
  <si>
    <t>Rio Grande 7</t>
  </si>
  <si>
    <t>Rio Grande 8</t>
  </si>
  <si>
    <t>Delivery Point</t>
  </si>
  <si>
    <t>Type</t>
  </si>
  <si>
    <t>Counter Party</t>
  </si>
  <si>
    <t>Cont</t>
  </si>
  <si>
    <t>FirmT</t>
  </si>
  <si>
    <t>IID</t>
  </si>
  <si>
    <t>PNM</t>
  </si>
  <si>
    <t>TNP</t>
  </si>
  <si>
    <t>SRP</t>
  </si>
  <si>
    <t>PAC</t>
  </si>
  <si>
    <t>LADWP</t>
  </si>
  <si>
    <t>SAN JUAN</t>
  </si>
  <si>
    <t>WAHA</t>
  </si>
  <si>
    <t>Interstate Spot Price</t>
  </si>
  <si>
    <t>Intrastate Spot Price</t>
  </si>
  <si>
    <t>Interstate Fixed Price (RG)</t>
  </si>
  <si>
    <t>Intrastate Fixed Price</t>
  </si>
  <si>
    <t>Interstate Fixed Price (NM)</t>
  </si>
  <si>
    <t>Units Using Interstate Gas Prices</t>
  </si>
  <si>
    <t xml:space="preserve">Weighted </t>
  </si>
  <si>
    <t xml:space="preserve">Cost of </t>
  </si>
  <si>
    <t>% Fixed</t>
  </si>
  <si>
    <t>% Spot</t>
  </si>
  <si>
    <t>MMBtus</t>
  </si>
  <si>
    <t>Avg. Price</t>
  </si>
  <si>
    <t>Gas Burn</t>
  </si>
  <si>
    <t>Units Using Intrastate Gas Prices</t>
  </si>
  <si>
    <t>Interstate Cheaper than Intrastate? yes = 1, no = -</t>
  </si>
  <si>
    <t>Units Using Either Interstate or Intrastate Gas Prices</t>
  </si>
  <si>
    <t>Fixed</t>
  </si>
  <si>
    <t>Spot</t>
  </si>
  <si>
    <t>ANALYSIS OF CURRENT MONTH WEIGHTED AVERAGE PRICES</t>
  </si>
  <si>
    <t>February</t>
  </si>
  <si>
    <t>INTERSTATE</t>
  </si>
  <si>
    <t>Supplier</t>
  </si>
  <si>
    <t>Base Price</t>
  </si>
  <si>
    <t>Rio Grande</t>
  </si>
  <si>
    <t>Newman</t>
  </si>
  <si>
    <t>Total Dollars Rio Grande</t>
  </si>
  <si>
    <t>Total Dollars Newman</t>
  </si>
  <si>
    <t>USGT</t>
  </si>
  <si>
    <t xml:space="preserve">SJ Inside FERC FOM </t>
  </si>
  <si>
    <t>Duke</t>
  </si>
  <si>
    <t>1/1-12/31/98 price not given (SJ)</t>
  </si>
  <si>
    <t>Cook</t>
  </si>
  <si>
    <t>4/1-11/30/98 Fixed or FOM Float (SJ)</t>
  </si>
  <si>
    <t>KN</t>
  </si>
  <si>
    <t>1/1/97-12/31/01 NGI Bid Week Index (Waha)</t>
  </si>
  <si>
    <t>Spot Purchases</t>
  </si>
  <si>
    <t>?</t>
  </si>
  <si>
    <t>W.A. Base Price</t>
  </si>
  <si>
    <t>Gross Receipts Tax</t>
  </si>
  <si>
    <t>Fuel Charge</t>
  </si>
  <si>
    <t>Surcharges</t>
  </si>
  <si>
    <t>Variable Price</t>
  </si>
  <si>
    <t>INTRASTATE</t>
  </si>
  <si>
    <t>KN Marketing</t>
  </si>
  <si>
    <t>4C PRESCHEDULED</t>
  </si>
  <si>
    <t>4C BALANCING</t>
  </si>
  <si>
    <t>4C REAL-TIME</t>
  </si>
  <si>
    <t>PV PRESCHEDULED</t>
  </si>
  <si>
    <t>PV BALANCING</t>
  </si>
  <si>
    <t>PV REAL-TIME</t>
  </si>
  <si>
    <t>IID (150 MW)</t>
  </si>
  <si>
    <t>Total Obligations</t>
  </si>
  <si>
    <t>Capacity</t>
  </si>
  <si>
    <t>MMBtu/Day</t>
  </si>
  <si>
    <t>4 CORNERS UNIT 4</t>
  </si>
  <si>
    <t>4 CORNERS UNIT 5</t>
  </si>
  <si>
    <t>PV UNIT 1</t>
  </si>
  <si>
    <t>PV UNIT 2</t>
  </si>
  <si>
    <t>PV UNIT 3</t>
  </si>
  <si>
    <t>NEWMAN 1           (30-70)</t>
  </si>
  <si>
    <t>NEWMAN 2           (25-78)</t>
  </si>
  <si>
    <t>NEWMAN 3          (31-103)</t>
  </si>
  <si>
    <t>NEWMAN 4    (115-190)</t>
  </si>
  <si>
    <t>COPPER</t>
  </si>
  <si>
    <t>RIO GRANDE 6    (20-48)</t>
  </si>
  <si>
    <t>RIO GRANDE 7    (14-44)</t>
  </si>
  <si>
    <t>RIO GRANDE 8    (65-130)</t>
  </si>
  <si>
    <t>Imports</t>
  </si>
  <si>
    <t>Total Costs:</t>
  </si>
  <si>
    <t>Palo Verde 510</t>
  </si>
  <si>
    <t>Four Corners 124</t>
  </si>
  <si>
    <t>Total NM 645</t>
  </si>
  <si>
    <t>Unloaded Generation</t>
  </si>
  <si>
    <t>Spin Reserves 7%</t>
  </si>
  <si>
    <t>Hourly On-Peak</t>
  </si>
  <si>
    <t>Hourly Off-Peak</t>
  </si>
  <si>
    <t>1 Day      On-Peak</t>
  </si>
  <si>
    <t>1 Day      Off-Peak</t>
  </si>
  <si>
    <t>BOM      On-Peak</t>
  </si>
  <si>
    <t>BOM      Off-Peak</t>
  </si>
  <si>
    <t>Greenley</t>
  </si>
  <si>
    <t>PV</t>
  </si>
  <si>
    <t>4 Corners</t>
  </si>
  <si>
    <t>SPS interface</t>
  </si>
  <si>
    <t>Prescheduled Sales</t>
  </si>
  <si>
    <t>W. Ave. Sale Price</t>
  </si>
  <si>
    <t>Prescheduled Purch.</t>
  </si>
  <si>
    <t>W. Ave. Purch. Price</t>
  </si>
  <si>
    <t>MW</t>
  </si>
  <si>
    <t>W.Ave $</t>
  </si>
  <si>
    <t>Total Sales</t>
  </si>
  <si>
    <t>Total Purchases</t>
  </si>
  <si>
    <t>Actual:</t>
  </si>
  <si>
    <t>Test:</t>
  </si>
  <si>
    <t>Scratch Area</t>
  </si>
  <si>
    <t>Difference:</t>
  </si>
  <si>
    <t xml:space="preserve">40 MW Max </t>
  </si>
  <si>
    <t>Spin Res</t>
  </si>
  <si>
    <t>(30-70) Test:</t>
  </si>
  <si>
    <t>.</t>
  </si>
  <si>
    <t xml:space="preserve">50 MW Max </t>
  </si>
  <si>
    <t>(25-78) Test:</t>
  </si>
  <si>
    <t xml:space="preserve">66 MW Max </t>
  </si>
  <si>
    <t>(31-103) Test:</t>
  </si>
  <si>
    <t xml:space="preserve">70 MW Max </t>
  </si>
  <si>
    <t>(48-XX) Test:</t>
  </si>
  <si>
    <t>(115-190) Test:</t>
  </si>
  <si>
    <t>(XX-XX) Test:</t>
  </si>
  <si>
    <t xml:space="preserve">20 MW Max </t>
  </si>
  <si>
    <t>(20-48) Test:</t>
  </si>
  <si>
    <t>(14-44) Test:</t>
  </si>
  <si>
    <t>(65-130) Test:</t>
  </si>
  <si>
    <t>Total Actual MW</t>
  </si>
  <si>
    <t>Total Test MW</t>
  </si>
  <si>
    <t>Total MW-Test MW.</t>
  </si>
  <si>
    <t>Net Position after sales   (taken from row 53)</t>
  </si>
  <si>
    <t>Excess Generation</t>
  </si>
  <si>
    <t>gen. net</t>
  </si>
  <si>
    <t>SPINNING RESERVES MUST BE AL LEAST 101 MW</t>
  </si>
  <si>
    <t xml:space="preserve">Actual Spinning Res.            </t>
  </si>
  <si>
    <t xml:space="preserve">Test Spinning Res.               </t>
  </si>
  <si>
    <t>IID+CFE+PNM</t>
  </si>
  <si>
    <t>Recommendations for 2/16 include:</t>
  </si>
  <si>
    <t>Total Savings for 2/16</t>
  </si>
  <si>
    <t>1.  Turn off RG6&amp; RG7</t>
  </si>
  <si>
    <t xml:space="preserve"> Two-way cycling cost        $786</t>
  </si>
  <si>
    <t>(spread over 3 days)</t>
  </si>
  <si>
    <t>2.  Meet load requirements with N4, FC and RG8</t>
  </si>
  <si>
    <t xml:space="preserve">3.  Keep N1 and N2 at minimum all day, ramp up as needed  </t>
  </si>
  <si>
    <t xml:space="preserve">4.  Keep sales between 50 and100 MW, and keep units ramped down to avoid selling power at a loss </t>
  </si>
  <si>
    <t>5.  Given this scenario, EPE will still generate an excess of 427 MW for the 24 hour period</t>
  </si>
  <si>
    <t>EPE's Response:</t>
  </si>
  <si>
    <t>RG 7 down</t>
  </si>
  <si>
    <t>Overgenerated by large margin</t>
  </si>
  <si>
    <t>Total Billing</t>
  </si>
  <si>
    <t>LIST ALL SALES BELOW</t>
  </si>
  <si>
    <t>leave this row blank</t>
  </si>
  <si>
    <t>Total per Model</t>
  </si>
  <si>
    <t>Start Up</t>
  </si>
  <si>
    <t>Minimum Run</t>
  </si>
  <si>
    <t xml:space="preserve">Minimum </t>
  </si>
  <si>
    <t>Heat Rates</t>
  </si>
  <si>
    <t>Costs</t>
  </si>
  <si>
    <t>Time (hrs)</t>
  </si>
  <si>
    <t>Down Time</t>
  </si>
  <si>
    <r>
      <t>LOCAL GEN.</t>
    </r>
    <r>
      <rPr>
        <sz val="10"/>
        <rFont val="Arial"/>
        <family val="2"/>
      </rPr>
      <t xml:space="preserve"> </t>
    </r>
    <r>
      <rPr>
        <sz val="10"/>
        <rFont val="Arial"/>
      </rPr>
      <t>( in order of increasing cost)</t>
    </r>
  </si>
  <si>
    <t>Newman  4</t>
  </si>
  <si>
    <t>GT1+ST1(only avail. when Newman 4 is off)</t>
  </si>
  <si>
    <t>GT2+ST1(only avail. when Newman 4 is off)</t>
  </si>
  <si>
    <t>GT 1(only avail. when Newman 4 is off)</t>
  </si>
  <si>
    <t>GT 2(only avail. when Newman 4 is off)</t>
  </si>
  <si>
    <t>Counter Parties</t>
  </si>
  <si>
    <t>Begin</t>
  </si>
  <si>
    <t>AEPCO</t>
  </si>
  <si>
    <t>APS</t>
  </si>
  <si>
    <t>PSCO</t>
  </si>
  <si>
    <t>SCE</t>
  </si>
  <si>
    <t>SDGE</t>
  </si>
  <si>
    <t>TEP</t>
  </si>
  <si>
    <t>End</t>
  </si>
  <si>
    <t>Newman1</t>
  </si>
  <si>
    <t>Steam Unit 1</t>
  </si>
  <si>
    <t>Steam Unit 2</t>
  </si>
  <si>
    <t>Steam Unit 3</t>
  </si>
  <si>
    <t>Gas Turbine 1</t>
  </si>
  <si>
    <t>Gas Turbine 2</t>
  </si>
  <si>
    <t>GT1+GT2+ST1</t>
  </si>
  <si>
    <t>Steam Unit 6</t>
  </si>
  <si>
    <t>Steam Unit 7</t>
  </si>
  <si>
    <t>Steam Unit 8</t>
  </si>
  <si>
    <t>Pre</t>
  </si>
  <si>
    <t>AZ3</t>
  </si>
  <si>
    <t>AZ2</t>
  </si>
  <si>
    <t>PST</t>
  </si>
  <si>
    <t>MST</t>
  </si>
  <si>
    <t xml:space="preserve">This log is where we should log any problems with the spin reserves.  </t>
  </si>
  <si>
    <t>If it falls below 100 we should log who we spoke to and if we tried to buy some power to cover it. Remember you have to buy firm power to cover spin reserve.</t>
  </si>
  <si>
    <t xml:space="preserve">Date </t>
  </si>
  <si>
    <t>Name of person you spoke to</t>
  </si>
  <si>
    <t>Comments  ( include what spin was when you checked it)</t>
  </si>
  <si>
    <t>Actual 4 minute increment that you checked</t>
  </si>
  <si>
    <t>Artesia Prescheduled</t>
  </si>
  <si>
    <t>4C Prescheduled</t>
  </si>
  <si>
    <t>4C Real-time</t>
  </si>
  <si>
    <t>PV Prescheduled</t>
  </si>
  <si>
    <t>PV Real-time</t>
  </si>
  <si>
    <t>Artesia Balancing</t>
  </si>
  <si>
    <t>Artesia Real-time</t>
  </si>
  <si>
    <t>Hidalgo Prescheduled</t>
  </si>
  <si>
    <t>Hidalgo Real-time</t>
  </si>
  <si>
    <t>Artesia 134</t>
  </si>
  <si>
    <t>Artesia Realtime</t>
  </si>
  <si>
    <t>Artesia</t>
  </si>
  <si>
    <t>Artesia Pre</t>
  </si>
  <si>
    <t>GENERATION</t>
  </si>
  <si>
    <t>TMM</t>
  </si>
  <si>
    <t>EPE Sales to EPMI</t>
  </si>
  <si>
    <t>EPE Purch from EPMI</t>
  </si>
  <si>
    <t>Start Date</t>
  </si>
  <si>
    <t>EndDate</t>
  </si>
  <si>
    <t>El Paso Spreadsheet</t>
  </si>
  <si>
    <t>Total Price</t>
  </si>
  <si>
    <t>Settlement Adder thru March 31, 1999</t>
  </si>
  <si>
    <t>a</t>
  </si>
  <si>
    <t>Predicted Final Price</t>
  </si>
  <si>
    <t>NB: March 13, 1999 Max Settlement charge will rise to 5.3%+4% for a total of 9.3%.</t>
  </si>
  <si>
    <t>Artesia Direct Bill</t>
  </si>
  <si>
    <t>CALPX</t>
  </si>
  <si>
    <t>LC</t>
  </si>
  <si>
    <t>4C</t>
  </si>
  <si>
    <t>Total Ancillary Services Purchases per Model</t>
  </si>
  <si>
    <t>Frank</t>
  </si>
  <si>
    <t>El Paso defiecent for He 7 due to loss of Artesia</t>
  </si>
  <si>
    <t xml:space="preserve">tie. </t>
  </si>
  <si>
    <t xml:space="preserve">Per Tony Soto imports are limited to a total of 335 Mw. Per this direction I </t>
  </si>
  <si>
    <t>sold off  Palo Verde for He 8 to import net of 335Mw. Against my direction</t>
  </si>
  <si>
    <t>Frank directed me to cut the sale to 50Mw so he could import the energy.</t>
  </si>
  <si>
    <t>El Paso deficient for HE 11 due to the loss of</t>
  </si>
  <si>
    <t>GT-2.</t>
  </si>
  <si>
    <t>Jessie and Ward</t>
  </si>
  <si>
    <t xml:space="preserve"> of the HE 11.  I baught from LADWP for 70$/MWh at PV.  For HE 12, Jessie</t>
  </si>
  <si>
    <t>instructed me to buy another 50 MW.  I baught 50 MW from PNM at 25$/MWh.</t>
  </si>
  <si>
    <t>loss of GT-1.  He instructed me to buy 50 MW intigrated to 25 MW for the remainder</t>
  </si>
  <si>
    <t>El Paso deficient for HE 17 and 18 due to the</t>
  </si>
  <si>
    <t>loss of 4C#5.</t>
  </si>
  <si>
    <t>Per Jessie at 1015 MST, I had to cut SRP from 50 MW to 25 MW for HE 11 at the half due to the</t>
  </si>
  <si>
    <t xml:space="preserve">Jessie called at 1720 MST and asked if we could buy as much power as possible   </t>
  </si>
  <si>
    <t>from SPS because 4C#5 just tripped.  Called SPS and bought 62 MW intigrated</t>
  </si>
  <si>
    <t>1740 MST to tell us that the Eddy Tie just went down and he had to cut the schedule</t>
  </si>
  <si>
    <t>to 31 at the half for the remainder of the hour for 100$/MWh.  We also bought for</t>
  </si>
  <si>
    <t xml:space="preserve"> HE 18 62 MW at 38$/MWh.Phil at SPS called at</t>
  </si>
  <si>
    <t>for the hour that we were in.  They kept in the 62 MW for HE18.</t>
  </si>
  <si>
    <t>Brian</t>
  </si>
  <si>
    <t xml:space="preserve"> ~23:25 just a minute of 40spin and 0 non spin.  We were running tight, Phil told me to relax, it will average out OK, and our next hour was looking fine.</t>
  </si>
  <si>
    <t>PV Direct Bill</t>
  </si>
  <si>
    <t>LOAD (Incl,RGC,CFE)</t>
  </si>
  <si>
    <t>PNM (56 MW)</t>
  </si>
  <si>
    <t>11:25  Only a couple of minutes of spin deficient due to Copper not being able to turn on</t>
  </si>
  <si>
    <t>Monika and Joe</t>
  </si>
  <si>
    <t>We discussed of turning Copper on to cover the load for that hour since nobody had anything to sell. Besides Copper was much cheaper than the prices to purchase energy. At the last minute I learned that Copper had trouble getting on and had to buy spin reserves from LADWP for that hour. This helped the spin get back on track</t>
  </si>
  <si>
    <t>HE12,14 couple minutes spin deficient</t>
  </si>
  <si>
    <t>Leaf to Thomas</t>
  </si>
  <si>
    <t>Had to buy within the hour 12 and 14 load is rising hot as pistols</t>
  </si>
  <si>
    <t>Unit tripped</t>
  </si>
  <si>
    <t xml:space="preserve">HE 16,17 </t>
  </si>
  <si>
    <t>Load jump, bought from APS @ 20 till 50MW int to a 17</t>
  </si>
  <si>
    <t>HE 10 for about 15-20 minutes</t>
  </si>
  <si>
    <t>HE 11 last 20mins should average out to requirments</t>
  </si>
  <si>
    <t xml:space="preserve">77 early in the hour 55 most the hour should be good for the hour </t>
  </si>
  <si>
    <t>Sale</t>
  </si>
  <si>
    <t>Buy</t>
  </si>
  <si>
    <t>HE 17 for 10-15 minutes</t>
  </si>
  <si>
    <t>Leaf to Tate</t>
  </si>
  <si>
    <t>Newman 4 went down bought from PNM,IID,and LADWP</t>
  </si>
  <si>
    <t>Leaf to Sal</t>
  </si>
  <si>
    <t>HE 18 part of the hour</t>
  </si>
  <si>
    <t>Bought from Pac 50MW on the 1/2 to cover the lack Gen guys didn't put the the buy in the scrape after repeated requests but Tate asured me that it would all work out buy the end of the hour.</t>
  </si>
  <si>
    <t>HE 9 10 after to a little after the half</t>
  </si>
  <si>
    <t>Newman 3 not able to handle load shown in the scrape. Cut econ schedules to cover load.</t>
  </si>
  <si>
    <t>Leaf to ?</t>
  </si>
  <si>
    <t>HE 10 for about 15 minutes</t>
  </si>
  <si>
    <t>Newman 3 went down started copper to cover load.</t>
  </si>
  <si>
    <t>HE 19 for about 15 minutes</t>
  </si>
  <si>
    <t>Leaf to Ward</t>
  </si>
  <si>
    <t>Load jumped a bit and spin dipped to 30 came back up to 54 later in the hour bought from IID to avoid further mishaps.</t>
  </si>
  <si>
    <t xml:space="preserve">                            </t>
  </si>
  <si>
    <t>HE 7 last twenty minutes</t>
  </si>
  <si>
    <t>We were good the first half of the hour then we started to slip. Since we were going to be fat in HE 8 I didn't want to cut the schedules</t>
  </si>
  <si>
    <t>HE 7</t>
  </si>
  <si>
    <t>Guzman and Thomas</t>
  </si>
  <si>
    <t>Could not close breaker on Copper, bought 50 mws from LDWP to cover at $225, naturally they got the breaker closed as we ramped into the next hour.</t>
  </si>
  <si>
    <t xml:space="preserve">  </t>
  </si>
  <si>
    <t>HE18</t>
  </si>
  <si>
    <t>Leaf</t>
  </si>
  <si>
    <t>Load came up more than expected I didn't cut schedules because I thought that the spin in the first half of the hour would average out to the requirements. Unfortunately load kept jumping.</t>
  </si>
  <si>
    <t>APS     ,STRT    ,FC,  ,   1,   1</t>
  </si>
  <si>
    <t>IID     ,FIRM    ,PV,  , 100, 100</t>
  </si>
  <si>
    <t>SRP     ,LOSS    ,PV,  ,   1,   1</t>
  </si>
  <si>
    <t>WAPA    ,PASS    ,WM,HO,  -1,  -1</t>
  </si>
  <si>
    <t>IID     ,EXCS    ,FC,  ,  50,  50</t>
  </si>
  <si>
    <t>LDWP    ,ECON    ,PV,  ,  80,  80</t>
  </si>
  <si>
    <t>PGT     ,LOSS    ,PV,  ,  -1,  -1</t>
  </si>
  <si>
    <t>PNM     ,CNTG    ,LC,  ,  11,  11</t>
  </si>
  <si>
    <t>PNM     ,LOSS    ,LC,  ,   2,   2</t>
  </si>
  <si>
    <t>SPS     ,FIRM    ,WM,  ,-103,-103</t>
  </si>
  <si>
    <t>SRP     ,FIRM    ,ED,  ,  25,  25</t>
  </si>
  <si>
    <t>TNP     ,FIRM    ,PV,  ,  25,  25</t>
  </si>
  <si>
    <t>TNP     ,LOSS    ,PV,  ,  -5,  -5</t>
  </si>
  <si>
    <t>4C Direct Bill</t>
  </si>
  <si>
    <t xml:space="preserve">                                                                                                                                                                                                                                               </t>
  </si>
  <si>
    <t>HI</t>
  </si>
  <si>
    <t>NM/GT2+ST,UNAV,  0  ,100  , 66  ,107  ,  0  ,1</t>
  </si>
  <si>
    <t>PSCO BOOKOUT</t>
  </si>
  <si>
    <t>PSCO/SWPP/EPEC</t>
  </si>
  <si>
    <t>Econ</t>
  </si>
  <si>
    <t>x</t>
  </si>
  <si>
    <t>PSCO/APS/WALC/NEVP</t>
  </si>
  <si>
    <t>EPMI BOOKOUT</t>
  </si>
  <si>
    <t>ISO/SRP</t>
  </si>
  <si>
    <t>NM/GT1+ST,UNAV,  0  ,100  , 61  ,107  ,  0  ,1</t>
  </si>
  <si>
    <t>ISO/TEP</t>
  </si>
  <si>
    <t>ISO</t>
  </si>
  <si>
    <t>PSCO/SRP</t>
  </si>
  <si>
    <t>RIOGRAN 8,UNAV,  0  , 90  , 36  ,151  ,  0  ,1</t>
  </si>
  <si>
    <t>EPMI/CISO</t>
  </si>
  <si>
    <t>NEWMN/GT1,AVAL,  0  , 60  , 18  , 60  ,  0  ,1</t>
  </si>
  <si>
    <t>NEWMN/GT2,AVAL,  0  , 60  , 18  , 60  ,  0  ,1</t>
  </si>
  <si>
    <t>IPC</t>
  </si>
  <si>
    <t>EPMI/APS</t>
  </si>
  <si>
    <t>TRI-STATE</t>
  </si>
  <si>
    <t>RIOGRAN 6,MANL, 45  , 40  , 28  , 48  ,  0  ,1</t>
  </si>
  <si>
    <t>Firm</t>
  </si>
  <si>
    <t>NEWMAN 2 ,MANL, 47  , 77  , 37  , 82  ,  0  ,1</t>
  </si>
  <si>
    <t>RIOGRAN 7,MANL, 38  , 32  , 30  , 49  ,  0  ,1</t>
  </si>
  <si>
    <t>NEWMAN 1 ,ECON, 40  , 68  , 39  , 83  , 28  ,1</t>
  </si>
  <si>
    <t>NEWMAN 3 ,ECON, 36  , 95  , 35  ,103  , 60  ,1</t>
  </si>
  <si>
    <t>NEWMAN 4 ,ECON,125  ,214  , 86  ,214  , 89  ,1</t>
  </si>
  <si>
    <t xml:space="preserve">NEWMAN   ,, 248 ,  454,  197, 482 , 177 , </t>
  </si>
  <si>
    <t>COPPER   ,ECON, 15  , 69  , 15  , 69  , 53  ,1</t>
  </si>
  <si>
    <t xml:space="preserve">RIOGRANDE,,  83 ,   72,   58,  97 ,   0 , </t>
  </si>
  <si>
    <t>PALOVERDE,MANL,461  ,461  ,461  ,600  ,  0  ,1</t>
  </si>
  <si>
    <t>FOURCRNRS,MANL,103  ,103  ,103  ,104  ,  0  ,1</t>
  </si>
  <si>
    <t>LAMBDA, 34.13,  653,  649,  281,    2,    0,21554,105</t>
  </si>
  <si>
    <t>MIRANT/PNM</t>
  </si>
  <si>
    <t>FIRM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</si>
</sst>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7" formatCode="&quot;$&quot;#,##0.00_);\(&quot;$&quot;#,##0.00\)"/>
    <numFmt numFmtId="44" formatCode="_(&quot;$&quot;* #,##0.00_);_(&quot;$&quot;* \(#,##0.00\);_(&quot;$&quot;* &quot;-&quot;??_);_(@_)"/>
    <numFmt numFmtId="43" formatCode="_(* #,##0.00_);_(* \(#,##0.00\);_(* &quot;-&quot;??_);_(@_)"/>
    <numFmt numFmtId="164" formatCode="_(* #,##0_);_(* \(#,##0\);_(* &quot;-&quot;??_);_(@_)"/>
    <numFmt numFmtId="165" formatCode="_(* #,##0.000_);_(* \(#,##0.000\);_(* &quot;-&quot;??_);_(@_)"/>
    <numFmt numFmtId="166" formatCode="mmmm\ d\,\ yyyy"/>
    <numFmt numFmtId="167" formatCode="0.000"/>
    <numFmt numFmtId="168" formatCode="_(&quot;$&quot;* #,##0.0000_);_(&quot;$&quot;* \(#,##0.0000\);_(&quot;$&quot;* &quot;-&quot;??_);_(@_)"/>
    <numFmt numFmtId="169" formatCode="_(&quot;$&quot;* #,##0.000_);_(&quot;$&quot;* \(#,##0.000\);_(&quot;$&quot;* &quot;-&quot;??_);_(@_)"/>
    <numFmt numFmtId="170" formatCode="&quot;$&quot;#,##0.00"/>
    <numFmt numFmtId="171" formatCode="0.0000"/>
    <numFmt numFmtId="172" formatCode="0;\-0;;"/>
    <numFmt numFmtId="173" formatCode="0;\-0;"/>
    <numFmt numFmtId="174" formatCode="#,##0.00;#,##0.00;"/>
    <numFmt numFmtId="175" formatCode="&quot;Fuel Cost:&quot;\ 0.00"/>
    <numFmt numFmtId="176" formatCode="0.00_);[Red]\(0.00\);;"/>
    <numFmt numFmtId="177" formatCode="0.00;;"/>
    <numFmt numFmtId="178" formatCode="0_);[Red]\(0\);;"/>
    <numFmt numFmtId="179" formatCode="_(&quot;$&quot;* #,##0_);[Red]_(&quot;$&quot;* \(#,##0\);_(&quot;$&quot;* &quot;-&quot;_);_(@_)"/>
    <numFmt numFmtId="180" formatCode="dd\-mmm\-yy"/>
  </numFmts>
  <fonts count="78" x14ac:knownFonts="1">
    <font>
      <sz val="10"/>
      <name val="Arial"/>
    </font>
    <font>
      <b/>
      <sz val="10"/>
      <name val="Arial"/>
    </font>
    <font>
      <b/>
      <i/>
      <sz val="10"/>
      <name val="Arial"/>
    </font>
    <font>
      <sz val="10"/>
      <name val="Arial"/>
    </font>
    <font>
      <sz val="10"/>
      <name val="Arial"/>
      <family val="2"/>
    </font>
    <font>
      <u/>
      <sz val="10"/>
      <name val="Arial"/>
      <family val="2"/>
    </font>
    <font>
      <u val="singleAccounting"/>
      <sz val="10"/>
      <name val="Arial"/>
      <family val="2"/>
    </font>
    <font>
      <b/>
      <u/>
      <sz val="10"/>
      <name val="Arial"/>
      <family val="2"/>
    </font>
    <font>
      <sz val="10"/>
      <color indexed="8"/>
      <name val="Arial"/>
    </font>
    <font>
      <sz val="8"/>
      <name val="Arial"/>
    </font>
    <font>
      <b/>
      <sz val="11"/>
      <color indexed="18"/>
      <name val="Arial"/>
    </font>
    <font>
      <b/>
      <sz val="10"/>
      <color indexed="8"/>
      <name val="Arial"/>
    </font>
    <font>
      <b/>
      <sz val="10"/>
      <color indexed="18"/>
      <name val="Arial"/>
    </font>
    <font>
      <b/>
      <sz val="9"/>
      <color indexed="20"/>
      <name val="Arial"/>
    </font>
    <font>
      <b/>
      <sz val="14"/>
      <color indexed="18"/>
      <name val="Arial"/>
    </font>
    <font>
      <b/>
      <sz val="11"/>
      <color indexed="18"/>
      <name val="Arial"/>
    </font>
    <font>
      <b/>
      <sz val="10"/>
      <color indexed="8"/>
      <name val="Arial"/>
    </font>
    <font>
      <b/>
      <sz val="9"/>
      <color indexed="20"/>
      <name val="Arial"/>
    </font>
    <font>
      <b/>
      <sz val="10"/>
      <color indexed="18"/>
      <name val="Arial"/>
    </font>
    <font>
      <sz val="9"/>
      <name val="Arial"/>
      <family val="2"/>
    </font>
    <font>
      <b/>
      <sz val="9"/>
      <color indexed="18"/>
      <name val="Arial"/>
      <family val="2"/>
    </font>
    <font>
      <sz val="9"/>
      <color indexed="18"/>
      <name val="Arial"/>
      <family val="2"/>
    </font>
    <font>
      <b/>
      <sz val="10"/>
      <color indexed="8"/>
      <name val="Arial"/>
      <family val="2"/>
    </font>
    <font>
      <b/>
      <sz val="9"/>
      <color indexed="8"/>
      <name val="Arial"/>
      <family val="2"/>
    </font>
    <font>
      <b/>
      <i/>
      <sz val="9"/>
      <color indexed="8"/>
      <name val="Arial"/>
      <family val="2"/>
    </font>
    <font>
      <b/>
      <sz val="9"/>
      <color indexed="8"/>
      <name val="Arial"/>
    </font>
    <font>
      <b/>
      <sz val="8"/>
      <color indexed="8"/>
      <name val="Arial"/>
      <family val="2"/>
    </font>
    <font>
      <b/>
      <sz val="9"/>
      <name val="Arial"/>
    </font>
    <font>
      <sz val="9"/>
      <name val="Arial"/>
    </font>
    <font>
      <b/>
      <sz val="11"/>
      <color indexed="62"/>
      <name val="Arial"/>
      <family val="2"/>
    </font>
    <font>
      <b/>
      <sz val="9"/>
      <color indexed="61"/>
      <name val="Arial"/>
      <family val="2"/>
    </font>
    <font>
      <sz val="10"/>
      <color indexed="8"/>
      <name val="Arial"/>
      <family val="2"/>
    </font>
    <font>
      <sz val="9"/>
      <color indexed="41"/>
      <name val="Arial"/>
      <family val="2"/>
    </font>
    <font>
      <b/>
      <sz val="10"/>
      <color indexed="10"/>
      <name val="Arial"/>
      <family val="2"/>
    </font>
    <font>
      <b/>
      <sz val="10"/>
      <color indexed="12"/>
      <name val="Arial"/>
    </font>
    <font>
      <b/>
      <sz val="10"/>
      <color indexed="39"/>
      <name val="Arial"/>
      <family val="2"/>
    </font>
    <font>
      <sz val="8"/>
      <name val="Tahoma"/>
      <family val="2"/>
    </font>
    <font>
      <u/>
      <sz val="9"/>
      <name val="Arial"/>
      <family val="2"/>
    </font>
    <font>
      <u/>
      <sz val="10"/>
      <name val="Arial"/>
    </font>
    <font>
      <sz val="10"/>
      <color indexed="33"/>
      <name val="Arial"/>
      <family val="2"/>
    </font>
    <font>
      <sz val="10"/>
      <color indexed="56"/>
      <name val="Arial"/>
    </font>
    <font>
      <sz val="10"/>
      <color indexed="9"/>
      <name val="Arial"/>
    </font>
    <font>
      <sz val="10"/>
      <name val="Arial"/>
    </font>
    <font>
      <sz val="10"/>
      <name val="Arial"/>
    </font>
    <font>
      <sz val="10"/>
      <name val="Arial"/>
    </font>
    <font>
      <sz val="14"/>
      <color indexed="8"/>
      <name val="Arial"/>
    </font>
    <font>
      <sz val="10"/>
      <name val="Arial"/>
    </font>
    <font>
      <sz val="10"/>
      <color indexed="22"/>
      <name val="Arial"/>
    </font>
    <font>
      <sz val="10"/>
      <name val="Arial"/>
    </font>
    <font>
      <b/>
      <sz val="14"/>
      <color indexed="8"/>
      <name val="Arial"/>
      <family val="2"/>
    </font>
    <font>
      <b/>
      <sz val="14"/>
      <name val="Arial"/>
      <family val="2"/>
    </font>
    <font>
      <sz val="10"/>
      <color indexed="56"/>
      <name val="Arial"/>
      <family val="2"/>
    </font>
    <font>
      <sz val="10"/>
      <color indexed="9"/>
      <name val="Arial"/>
      <family val="2"/>
    </font>
    <font>
      <b/>
      <i/>
      <sz val="10"/>
      <color indexed="9"/>
      <name val="Arial"/>
      <family val="2"/>
    </font>
    <font>
      <b/>
      <sz val="10"/>
      <color indexed="9"/>
      <name val="Arial"/>
      <family val="2"/>
    </font>
    <font>
      <b/>
      <sz val="9"/>
      <color indexed="10"/>
      <name val="Arial"/>
    </font>
    <font>
      <u/>
      <sz val="6.3"/>
      <color indexed="12"/>
      <name val="Arial"/>
    </font>
    <font>
      <b/>
      <sz val="12"/>
      <color indexed="9"/>
      <name val="Arial"/>
    </font>
    <font>
      <b/>
      <sz val="12"/>
      <name val="Arial"/>
    </font>
    <font>
      <b/>
      <i/>
      <sz val="14"/>
      <name val="Arial"/>
      <family val="2"/>
    </font>
    <font>
      <b/>
      <sz val="10"/>
      <name val="Arial"/>
      <family val="2"/>
    </font>
    <font>
      <b/>
      <sz val="10"/>
      <color indexed="56"/>
      <name val="Arial"/>
      <family val="2"/>
    </font>
    <font>
      <b/>
      <sz val="14"/>
      <color indexed="10"/>
      <name val="Arial"/>
      <family val="2"/>
    </font>
    <font>
      <sz val="10"/>
      <color indexed="10"/>
      <name val="Arial"/>
      <family val="2"/>
    </font>
    <font>
      <b/>
      <sz val="8"/>
      <name val="Arial"/>
      <family val="2"/>
    </font>
    <font>
      <sz val="14"/>
      <name val="Arial"/>
      <family val="2"/>
    </font>
    <font>
      <sz val="10"/>
      <color indexed="81"/>
      <name val="Tahoma"/>
      <family val="2"/>
    </font>
    <font>
      <sz val="16"/>
      <color indexed="81"/>
      <name val="Tahoma"/>
      <family val="2"/>
    </font>
    <font>
      <b/>
      <sz val="9"/>
      <name val="Arial"/>
      <family val="2"/>
    </font>
    <font>
      <sz val="10"/>
      <color indexed="22"/>
      <name val="Arial"/>
      <family val="2"/>
    </font>
    <font>
      <sz val="14"/>
      <color indexed="8"/>
      <name val="Arial"/>
      <family val="2"/>
    </font>
    <font>
      <b/>
      <sz val="10"/>
      <color indexed="22"/>
      <name val="Arial"/>
      <family val="2"/>
    </font>
    <font>
      <b/>
      <sz val="11"/>
      <color indexed="81"/>
      <name val="Tahoma"/>
      <family val="2"/>
    </font>
    <font>
      <sz val="11"/>
      <color indexed="81"/>
      <name val="Tahoma"/>
      <family val="2"/>
    </font>
    <font>
      <b/>
      <sz val="8"/>
      <color indexed="81"/>
      <name val="Tahoma"/>
      <family val="2"/>
    </font>
    <font>
      <sz val="8"/>
      <color indexed="81"/>
      <name val="Tahoma"/>
      <family val="2"/>
    </font>
    <font>
      <sz val="10"/>
      <color rgb="FF000000"/>
      <name val="Arial"/>
      <family val="2"/>
    </font>
    <font>
      <sz val="8"/>
      <color rgb="FF000000"/>
      <name val="Arial"/>
      <family val="2"/>
    </font>
  </fonts>
  <fills count="22">
    <fill>
      <patternFill patternType="none"/>
    </fill>
    <fill>
      <patternFill patternType="gray125"/>
    </fill>
    <fill>
      <patternFill patternType="solid">
        <fgColor indexed="9"/>
        <bgColor indexed="64"/>
      </patternFill>
    </fill>
    <fill>
      <patternFill patternType="solid">
        <fgColor indexed="44"/>
        <bgColor indexed="24"/>
      </patternFill>
    </fill>
    <fill>
      <patternFill patternType="solid">
        <fgColor indexed="22"/>
        <bgColor indexed="64"/>
      </patternFill>
    </fill>
    <fill>
      <patternFill patternType="solid">
        <fgColor indexed="22"/>
        <bgColor indexed="24"/>
      </patternFill>
    </fill>
    <fill>
      <patternFill patternType="solid">
        <fgColor indexed="26"/>
        <bgColor indexed="64"/>
      </patternFill>
    </fill>
    <fill>
      <patternFill patternType="solid">
        <fgColor indexed="31"/>
        <bgColor indexed="64"/>
      </patternFill>
    </fill>
    <fill>
      <patternFill patternType="solid">
        <fgColor indexed="27"/>
        <bgColor indexed="64"/>
      </patternFill>
    </fill>
    <fill>
      <patternFill patternType="solid">
        <fgColor indexed="27"/>
        <bgColor indexed="24"/>
      </patternFill>
    </fill>
    <fill>
      <patternFill patternType="solid">
        <fgColor indexed="8"/>
        <bgColor indexed="64"/>
      </patternFill>
    </fill>
    <fill>
      <patternFill patternType="solid">
        <fgColor indexed="49"/>
        <bgColor indexed="64"/>
      </patternFill>
    </fill>
    <fill>
      <patternFill patternType="solid">
        <fgColor indexed="15"/>
        <bgColor indexed="64"/>
      </patternFill>
    </fill>
    <fill>
      <patternFill patternType="solid">
        <fgColor indexed="13"/>
        <bgColor indexed="64"/>
      </patternFill>
    </fill>
    <fill>
      <patternFill patternType="solid">
        <fgColor indexed="11"/>
        <bgColor indexed="64"/>
      </patternFill>
    </fill>
    <fill>
      <patternFill patternType="solid">
        <fgColor indexed="41"/>
        <bgColor indexed="64"/>
      </patternFill>
    </fill>
    <fill>
      <patternFill patternType="solid">
        <fgColor indexed="40"/>
        <bgColor indexed="64"/>
      </patternFill>
    </fill>
    <fill>
      <patternFill patternType="solid">
        <fgColor indexed="42"/>
        <bgColor indexed="64"/>
      </patternFill>
    </fill>
    <fill>
      <patternFill patternType="solid">
        <fgColor indexed="34"/>
        <bgColor indexed="64"/>
      </patternFill>
    </fill>
    <fill>
      <patternFill patternType="solid">
        <fgColor indexed="43"/>
        <bgColor indexed="64"/>
      </patternFill>
    </fill>
    <fill>
      <patternFill patternType="solid">
        <fgColor indexed="46"/>
        <bgColor indexed="64"/>
      </patternFill>
    </fill>
    <fill>
      <patternFill patternType="solid">
        <fgColor indexed="62"/>
        <bgColor indexed="64"/>
      </patternFill>
    </fill>
  </fills>
  <borders count="132">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indexed="9"/>
      </left>
      <right/>
      <top style="thin">
        <color indexed="9"/>
      </top>
      <bottom/>
      <diagonal/>
    </border>
    <border>
      <left/>
      <right/>
      <top style="thin">
        <color indexed="9"/>
      </top>
      <bottom/>
      <diagonal/>
    </border>
    <border>
      <left style="thin">
        <color indexed="9"/>
      </left>
      <right/>
      <top/>
      <bottom/>
      <diagonal/>
    </border>
    <border>
      <left style="thick">
        <color indexed="18"/>
      </left>
      <right/>
      <top style="thick">
        <color indexed="18"/>
      </top>
      <bottom/>
      <diagonal/>
    </border>
    <border>
      <left/>
      <right/>
      <top style="thick">
        <color indexed="18"/>
      </top>
      <bottom/>
      <diagonal/>
    </border>
    <border>
      <left/>
      <right style="thick">
        <color indexed="18"/>
      </right>
      <top style="thick">
        <color indexed="18"/>
      </top>
      <bottom/>
      <diagonal/>
    </border>
    <border>
      <left/>
      <right style="thick">
        <color indexed="18"/>
      </right>
      <top style="thin">
        <color indexed="9"/>
      </top>
      <bottom/>
      <diagonal/>
    </border>
    <border>
      <left style="thin">
        <color indexed="9"/>
      </left>
      <right/>
      <top/>
      <bottom style="thick">
        <color indexed="18"/>
      </bottom>
      <diagonal/>
    </border>
    <border>
      <left/>
      <right/>
      <top/>
      <bottom style="thick">
        <color indexed="18"/>
      </bottom>
      <diagonal/>
    </border>
    <border>
      <left style="thin">
        <color indexed="23"/>
      </left>
      <right/>
      <top style="thin">
        <color indexed="23"/>
      </top>
      <bottom/>
      <diagonal/>
    </border>
    <border>
      <left/>
      <right style="thin">
        <color indexed="9"/>
      </right>
      <top style="thin">
        <color indexed="23"/>
      </top>
      <bottom/>
      <diagonal/>
    </border>
    <border>
      <left style="thin">
        <color indexed="23"/>
      </left>
      <right/>
      <top/>
      <bottom/>
      <diagonal/>
    </border>
    <border>
      <left/>
      <right style="thin">
        <color indexed="9"/>
      </right>
      <top/>
      <bottom/>
      <diagonal/>
    </border>
    <border>
      <left style="thin">
        <color indexed="23"/>
      </left>
      <right/>
      <top/>
      <bottom style="thin">
        <color indexed="9"/>
      </bottom>
      <diagonal/>
    </border>
    <border>
      <left/>
      <right style="thin">
        <color indexed="9"/>
      </right>
      <top/>
      <bottom style="thin">
        <color indexed="9"/>
      </bottom>
      <diagonal/>
    </border>
    <border>
      <left style="thick">
        <color indexed="18"/>
      </left>
      <right/>
      <top/>
      <bottom/>
      <diagonal/>
    </border>
    <border>
      <left/>
      <right style="thick">
        <color indexed="18"/>
      </right>
      <top/>
      <bottom/>
      <diagonal/>
    </border>
    <border>
      <left style="thick">
        <color indexed="18"/>
      </left>
      <right/>
      <top/>
      <bottom style="thick">
        <color indexed="18"/>
      </bottom>
      <diagonal/>
    </border>
    <border>
      <left/>
      <right style="thick">
        <color indexed="18"/>
      </right>
      <top/>
      <bottom style="thick">
        <color indexed="18"/>
      </bottom>
      <diagonal/>
    </border>
    <border>
      <left style="thick">
        <color indexed="18"/>
      </left>
      <right/>
      <top style="thin">
        <color indexed="9"/>
      </top>
      <bottom/>
      <diagonal/>
    </border>
    <border>
      <left style="thick">
        <color indexed="18"/>
      </left>
      <right/>
      <top style="thin">
        <color indexed="64"/>
      </top>
      <bottom style="thin">
        <color indexed="64"/>
      </bottom>
      <diagonal/>
    </border>
    <border>
      <left/>
      <right style="thick">
        <color indexed="18"/>
      </right>
      <top style="thin">
        <color indexed="64"/>
      </top>
      <bottom style="thin">
        <color indexed="64"/>
      </bottom>
      <diagonal/>
    </border>
    <border>
      <left/>
      <right style="thin">
        <color indexed="23"/>
      </right>
      <top style="thin">
        <color indexed="9"/>
      </top>
      <bottom/>
      <diagonal/>
    </border>
    <border>
      <left/>
      <right style="thin">
        <color indexed="23"/>
      </right>
      <top/>
      <bottom/>
      <diagonal/>
    </border>
    <border>
      <left/>
      <right style="thin">
        <color indexed="23"/>
      </right>
      <top/>
      <bottom style="thick">
        <color indexed="18"/>
      </bottom>
      <diagonal/>
    </border>
    <border>
      <left style="thick">
        <color indexed="18"/>
      </left>
      <right/>
      <top style="thick">
        <color indexed="18"/>
      </top>
      <bottom style="thin">
        <color indexed="64"/>
      </bottom>
      <diagonal/>
    </border>
    <border>
      <left/>
      <right/>
      <top style="thick">
        <color indexed="18"/>
      </top>
      <bottom style="thin">
        <color indexed="64"/>
      </bottom>
      <diagonal/>
    </border>
    <border>
      <left/>
      <right style="thick">
        <color indexed="18"/>
      </right>
      <top style="thick">
        <color indexed="18"/>
      </top>
      <bottom style="thin">
        <color indexed="64"/>
      </bottom>
      <diagonal/>
    </border>
    <border>
      <left/>
      <right/>
      <top style="thin">
        <color indexed="64"/>
      </top>
      <bottom style="thick">
        <color indexed="18"/>
      </bottom>
      <diagonal/>
    </border>
    <border>
      <left/>
      <right style="thick">
        <color indexed="18"/>
      </right>
      <top style="thin">
        <color indexed="64"/>
      </top>
      <bottom style="thick">
        <color indexed="18"/>
      </bottom>
      <diagonal/>
    </border>
    <border>
      <left style="thick">
        <color indexed="18"/>
      </left>
      <right/>
      <top style="thin">
        <color indexed="64"/>
      </top>
      <bottom style="thick">
        <color indexed="18"/>
      </bottom>
      <diagonal/>
    </border>
    <border>
      <left style="hair">
        <color indexed="64"/>
      </left>
      <right style="hair">
        <color indexed="64"/>
      </right>
      <top style="thin">
        <color indexed="64"/>
      </top>
      <bottom style="thin">
        <color indexed="64"/>
      </bottom>
      <diagonal/>
    </border>
    <border>
      <left style="hair">
        <color indexed="64"/>
      </left>
      <right style="thick">
        <color indexed="18"/>
      </right>
      <top style="thin">
        <color indexed="64"/>
      </top>
      <bottom style="thin">
        <color indexed="64"/>
      </bottom>
      <diagonal/>
    </border>
    <border>
      <left style="hair">
        <color indexed="64"/>
      </left>
      <right style="hair">
        <color indexed="64"/>
      </right>
      <top style="thin">
        <color indexed="64"/>
      </top>
      <bottom style="thick">
        <color indexed="18"/>
      </bottom>
      <diagonal/>
    </border>
    <border>
      <left style="hair">
        <color indexed="64"/>
      </left>
      <right style="thick">
        <color indexed="18"/>
      </right>
      <top style="thin">
        <color indexed="64"/>
      </top>
      <bottom style="thick">
        <color indexed="18"/>
      </bottom>
      <diagonal/>
    </border>
    <border>
      <left/>
      <right/>
      <top/>
      <bottom style="medium">
        <color indexed="64"/>
      </bottom>
      <diagonal/>
    </border>
    <border>
      <left style="thin">
        <color indexed="64"/>
      </left>
      <right/>
      <top/>
      <bottom/>
      <diagonal/>
    </border>
    <border>
      <left style="thin">
        <color indexed="64"/>
      </left>
      <right/>
      <top/>
      <bottom style="hair">
        <color indexed="64"/>
      </bottom>
      <diagonal/>
    </border>
    <border>
      <left style="thin">
        <color indexed="64"/>
      </left>
      <right style="thin">
        <color indexed="64"/>
      </right>
      <top/>
      <bottom/>
      <diagonal/>
    </border>
    <border>
      <left/>
      <right style="thin">
        <color indexed="64"/>
      </right>
      <top/>
      <bottom/>
      <diagonal/>
    </border>
    <border>
      <left/>
      <right style="thick">
        <color indexed="62"/>
      </right>
      <top/>
      <bottom/>
      <diagonal/>
    </border>
    <border>
      <left/>
      <right style="thick">
        <color indexed="18"/>
      </right>
      <top/>
      <bottom style="hair">
        <color indexed="64"/>
      </bottom>
      <diagonal/>
    </border>
    <border>
      <left/>
      <right style="thick">
        <color indexed="18"/>
      </right>
      <top/>
      <bottom style="double">
        <color indexed="64"/>
      </bottom>
      <diagonal/>
    </border>
    <border>
      <left style="thick">
        <color indexed="18"/>
      </left>
      <right/>
      <top style="thin">
        <color indexed="64"/>
      </top>
      <bottom style="double">
        <color indexed="64"/>
      </bottom>
      <diagonal/>
    </border>
    <border>
      <left/>
      <right style="thick">
        <color indexed="18"/>
      </right>
      <top style="thin">
        <color indexed="64"/>
      </top>
      <bottom style="double">
        <color indexed="64"/>
      </bottom>
      <diagonal/>
    </border>
    <border>
      <left style="medium">
        <color indexed="18"/>
      </left>
      <right style="medium">
        <color indexed="18"/>
      </right>
      <top/>
      <bottom/>
      <diagonal/>
    </border>
    <border>
      <left style="medium">
        <color indexed="18"/>
      </left>
      <right/>
      <top style="medium">
        <color indexed="18"/>
      </top>
      <bottom/>
      <diagonal/>
    </border>
    <border>
      <left/>
      <right/>
      <top style="medium">
        <color indexed="18"/>
      </top>
      <bottom/>
      <diagonal/>
    </border>
    <border>
      <left style="medium">
        <color indexed="18"/>
      </left>
      <right/>
      <top/>
      <bottom/>
      <diagonal/>
    </border>
    <border>
      <left style="medium">
        <color indexed="18"/>
      </left>
      <right/>
      <top/>
      <bottom style="medium">
        <color indexed="18"/>
      </bottom>
      <diagonal/>
    </border>
    <border>
      <left/>
      <right/>
      <top/>
      <bottom style="medium">
        <color indexed="1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18"/>
      </right>
      <top style="medium">
        <color indexed="18"/>
      </top>
      <bottom/>
      <diagonal/>
    </border>
    <border>
      <left/>
      <right style="medium">
        <color indexed="18"/>
      </right>
      <top/>
      <bottom/>
      <diagonal/>
    </border>
    <border>
      <left/>
      <right style="medium">
        <color indexed="18"/>
      </right>
      <top/>
      <bottom style="medium">
        <color indexed="18"/>
      </bottom>
      <diagonal/>
    </border>
    <border>
      <left style="medium">
        <color indexed="18"/>
      </left>
      <right style="medium">
        <color indexed="18"/>
      </right>
      <top style="medium">
        <color indexed="18"/>
      </top>
      <bottom/>
      <diagonal/>
    </border>
    <border>
      <left style="medium">
        <color indexed="18"/>
      </left>
      <right style="medium">
        <color indexed="18"/>
      </right>
      <top/>
      <bottom style="medium">
        <color indexed="64"/>
      </bottom>
      <diagonal/>
    </border>
    <border>
      <left/>
      <right/>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hair">
        <color indexed="64"/>
      </bottom>
      <diagonal/>
    </border>
    <border>
      <left style="medium">
        <color indexed="64"/>
      </left>
      <right/>
      <top/>
      <bottom/>
      <diagonal/>
    </border>
    <border>
      <left style="hair">
        <color indexed="8"/>
      </left>
      <right style="hair">
        <color indexed="8"/>
      </right>
      <top/>
      <bottom/>
      <diagonal/>
    </border>
    <border>
      <left style="hair">
        <color indexed="8"/>
      </left>
      <right style="hair">
        <color indexed="8"/>
      </right>
      <top style="thin">
        <color indexed="64"/>
      </top>
      <bottom style="thin">
        <color indexed="64"/>
      </bottom>
      <diagonal/>
    </border>
    <border>
      <left style="thin">
        <color indexed="64"/>
      </left>
      <right/>
      <top style="thin">
        <color indexed="23"/>
      </top>
      <bottom/>
      <diagonal/>
    </border>
    <border>
      <left style="thin">
        <color indexed="64"/>
      </left>
      <right/>
      <top/>
      <bottom style="thin">
        <color indexed="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style="hair">
        <color indexed="64"/>
      </right>
      <top/>
      <bottom/>
      <diagonal/>
    </border>
    <border>
      <left/>
      <right style="hair">
        <color indexed="64"/>
      </right>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ck">
        <color indexed="62"/>
      </left>
      <right/>
      <top/>
      <bottom/>
      <diagonal/>
    </border>
    <border>
      <left style="thick">
        <color indexed="18"/>
      </left>
      <right/>
      <top/>
      <bottom style="thin">
        <color indexed="64"/>
      </bottom>
      <diagonal/>
    </border>
    <border>
      <left style="hair">
        <color indexed="64"/>
      </left>
      <right style="hair">
        <color indexed="64"/>
      </right>
      <top/>
      <bottom style="thin">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medium">
        <color indexed="62"/>
      </top>
      <bottom style="medium">
        <color indexed="64"/>
      </bottom>
      <diagonal/>
    </border>
    <border>
      <left style="thin">
        <color indexed="64"/>
      </left>
      <right style="hair">
        <color indexed="64"/>
      </right>
      <top style="medium">
        <color indexed="62"/>
      </top>
      <bottom style="medium">
        <color indexed="64"/>
      </bottom>
      <diagonal/>
    </border>
    <border>
      <left style="hair">
        <color indexed="8"/>
      </left>
      <right style="thin">
        <color indexed="8"/>
      </right>
      <top style="thin">
        <color indexed="64"/>
      </top>
      <bottom style="thin">
        <color indexed="64"/>
      </bottom>
      <diagonal/>
    </border>
    <border>
      <left style="hair">
        <color indexed="8"/>
      </left>
      <right style="thin">
        <color indexed="8"/>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18"/>
      </top>
      <bottom style="thin">
        <color indexed="64"/>
      </bottom>
      <diagonal/>
    </border>
    <border>
      <left/>
      <right/>
      <top style="medium">
        <color indexed="18"/>
      </top>
      <bottom style="thin">
        <color indexed="64"/>
      </bottom>
      <diagonal/>
    </border>
    <border>
      <left/>
      <right style="medium">
        <color indexed="64"/>
      </right>
      <top style="medium">
        <color indexed="18"/>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s>
  <cellStyleXfs count="6">
    <xf numFmtId="0" fontId="0" fillId="0" borderId="0"/>
    <xf numFmtId="43" fontId="3" fillId="0" borderId="0" applyFont="0" applyFill="0" applyBorder="0" applyAlignment="0" applyProtection="0"/>
    <xf numFmtId="44" fontId="3" fillId="0" borderId="0" applyFont="0" applyFill="0" applyBorder="0" applyAlignment="0" applyProtection="0"/>
    <xf numFmtId="0" fontId="56" fillId="0" borderId="0" applyNumberFormat="0" applyFill="0" applyBorder="0" applyAlignment="0" applyProtection="0">
      <alignment vertical="top"/>
      <protection locked="0"/>
    </xf>
    <xf numFmtId="0" fontId="39" fillId="0" borderId="0"/>
    <xf numFmtId="9" fontId="3" fillId="0" borderId="0" applyFont="0" applyFill="0" applyBorder="0" applyAlignment="0" applyProtection="0"/>
  </cellStyleXfs>
  <cellXfs count="704">
    <xf numFmtId="0" fontId="0" fillId="0" borderId="0" xfId="0"/>
    <xf numFmtId="0" fontId="1" fillId="2" borderId="0" xfId="0" applyFont="1" applyFill="1"/>
    <xf numFmtId="0" fontId="0" fillId="2" borderId="0" xfId="0" applyFill="1"/>
    <xf numFmtId="0" fontId="0" fillId="2" borderId="0" xfId="0" applyFill="1" applyAlignment="1">
      <alignment horizontal="center"/>
    </xf>
    <xf numFmtId="164" fontId="0" fillId="2" borderId="0" xfId="0" applyNumberFormat="1" applyFill="1"/>
    <xf numFmtId="0" fontId="0" fillId="2" borderId="1" xfId="0" applyFill="1" applyBorder="1" applyAlignment="1">
      <alignment horizontal="center"/>
    </xf>
    <xf numFmtId="164" fontId="0" fillId="2" borderId="2" xfId="0" applyNumberFormat="1" applyFill="1" applyBorder="1"/>
    <xf numFmtId="0" fontId="0" fillId="2" borderId="2" xfId="0" applyFill="1" applyBorder="1"/>
    <xf numFmtId="0" fontId="7" fillId="2" borderId="0" xfId="0" applyFont="1" applyFill="1"/>
    <xf numFmtId="0" fontId="1" fillId="2" borderId="1" xfId="0" applyFont="1" applyFill="1" applyBorder="1" applyAlignment="1">
      <alignment horizontal="center" wrapText="1"/>
    </xf>
    <xf numFmtId="0" fontId="1" fillId="2" borderId="0" xfId="0" applyFont="1" applyFill="1" applyAlignment="1">
      <alignment horizontal="center" wrapText="1"/>
    </xf>
    <xf numFmtId="164" fontId="4" fillId="2" borderId="0" xfId="1" applyNumberFormat="1" applyFont="1" applyFill="1"/>
    <xf numFmtId="0" fontId="4" fillId="2" borderId="0" xfId="0" applyFont="1" applyFill="1"/>
    <xf numFmtId="164" fontId="6" fillId="2" borderId="0" xfId="1" applyNumberFormat="1" applyFont="1" applyFill="1"/>
    <xf numFmtId="0" fontId="0" fillId="2" borderId="0" xfId="0" applyFill="1" applyAlignment="1">
      <alignment horizontal="center" wrapText="1"/>
    </xf>
    <xf numFmtId="0" fontId="1" fillId="2" borderId="0" xfId="0" applyFont="1" applyFill="1" applyAlignment="1">
      <alignment horizontal="right" wrapText="1"/>
    </xf>
    <xf numFmtId="167" fontId="1" fillId="2" borderId="0" xfId="0" applyNumberFormat="1" applyFont="1" applyFill="1" applyAlignment="1">
      <alignment horizontal="right" wrapText="1"/>
    </xf>
    <xf numFmtId="0" fontId="0" fillId="2" borderId="0" xfId="0" applyFill="1" applyAlignment="1">
      <alignment horizontal="left"/>
    </xf>
    <xf numFmtId="168" fontId="6" fillId="2" borderId="0" xfId="2" applyNumberFormat="1" applyFont="1" applyFill="1"/>
    <xf numFmtId="169" fontId="1" fillId="2" borderId="0" xfId="2" applyNumberFormat="1" applyFont="1" applyFill="1"/>
    <xf numFmtId="0" fontId="5" fillId="2" borderId="0" xfId="0" applyFont="1" applyFill="1"/>
    <xf numFmtId="0" fontId="3" fillId="2" borderId="0" xfId="0" applyFont="1" applyFill="1" applyAlignment="1">
      <alignment horizontal="left"/>
    </xf>
    <xf numFmtId="164" fontId="3" fillId="2" borderId="0" xfId="1" applyNumberFormat="1" applyFont="1" applyFill="1" applyAlignment="1"/>
    <xf numFmtId="164" fontId="3" fillId="2" borderId="0" xfId="1" applyNumberFormat="1" applyFont="1" applyFill="1"/>
    <xf numFmtId="10" fontId="5" fillId="2" borderId="0" xfId="5" applyNumberFormat="1" applyFont="1" applyFill="1"/>
    <xf numFmtId="0" fontId="1" fillId="0" borderId="0" xfId="0" applyFont="1"/>
    <xf numFmtId="2" fontId="0" fillId="0" borderId="0" xfId="0" applyNumberFormat="1"/>
    <xf numFmtId="9" fontId="0" fillId="0" borderId="0" xfId="0" applyNumberFormat="1"/>
    <xf numFmtId="171" fontId="0" fillId="0" borderId="0" xfId="0" applyNumberFormat="1"/>
    <xf numFmtId="43" fontId="3" fillId="2" borderId="0" xfId="1" applyFill="1"/>
    <xf numFmtId="164" fontId="3" fillId="2" borderId="0" xfId="1" applyNumberFormat="1" applyFill="1"/>
    <xf numFmtId="165" fontId="3" fillId="2" borderId="0" xfId="1" applyNumberFormat="1" applyFill="1"/>
    <xf numFmtId="164" fontId="3" fillId="2" borderId="3" xfId="1" applyNumberFormat="1" applyFill="1" applyBorder="1"/>
    <xf numFmtId="165" fontId="3" fillId="2" borderId="3" xfId="1" applyNumberFormat="1" applyFill="1" applyBorder="1"/>
    <xf numFmtId="9" fontId="3" fillId="2" borderId="0" xfId="5" applyFill="1"/>
    <xf numFmtId="43" fontId="3" fillId="2" borderId="0" xfId="1" applyFill="1" applyAlignment="1">
      <alignment horizontal="center"/>
    </xf>
    <xf numFmtId="10" fontId="3" fillId="2" borderId="0" xfId="5" applyNumberFormat="1" applyFill="1"/>
    <xf numFmtId="0" fontId="10" fillId="3" borderId="4" xfId="0" applyFont="1" applyFill="1" applyBorder="1" applyAlignment="1">
      <alignment horizontal="left"/>
    </xf>
    <xf numFmtId="0" fontId="13" fillId="3" borderId="5" xfId="0" applyFont="1" applyFill="1" applyBorder="1" applyAlignment="1">
      <alignment horizontal="center"/>
    </xf>
    <xf numFmtId="0" fontId="10" fillId="3" borderId="6" xfId="0" applyFont="1" applyFill="1" applyBorder="1" applyAlignment="1">
      <alignment horizontal="left"/>
    </xf>
    <xf numFmtId="0" fontId="11" fillId="3" borderId="6" xfId="0" applyFont="1" applyFill="1" applyBorder="1" applyAlignment="1">
      <alignment horizontal="left"/>
    </xf>
    <xf numFmtId="0" fontId="8" fillId="3" borderId="0" xfId="0" applyFont="1" applyFill="1"/>
    <xf numFmtId="0" fontId="12" fillId="3" borderId="6" xfId="0" applyFont="1" applyFill="1" applyBorder="1" applyAlignment="1">
      <alignment horizontal="left"/>
    </xf>
    <xf numFmtId="0" fontId="14" fillId="4" borderId="7" xfId="0" applyFont="1" applyFill="1" applyBorder="1" applyAlignment="1">
      <alignment horizontal="centerContinuous"/>
    </xf>
    <xf numFmtId="0" fontId="0" fillId="4" borderId="8" xfId="0" applyFill="1" applyBorder="1" applyAlignment="1">
      <alignment horizontal="centerContinuous"/>
    </xf>
    <xf numFmtId="0" fontId="0" fillId="4" borderId="9" xfId="0" applyFill="1" applyBorder="1" applyAlignment="1">
      <alignment horizontal="centerContinuous"/>
    </xf>
    <xf numFmtId="0" fontId="13" fillId="3" borderId="10" xfId="0" applyFont="1" applyFill="1" applyBorder="1" applyAlignment="1">
      <alignment horizontal="center"/>
    </xf>
    <xf numFmtId="0" fontId="12" fillId="3" borderId="11" xfId="0" applyFont="1" applyFill="1" applyBorder="1" applyAlignment="1">
      <alignment horizontal="left"/>
    </xf>
    <xf numFmtId="0" fontId="8" fillId="3" borderId="12" xfId="0" applyFont="1" applyFill="1" applyBorder="1"/>
    <xf numFmtId="0" fontId="8" fillId="3" borderId="13" xfId="0" applyFont="1" applyFill="1" applyBorder="1" applyProtection="1">
      <protection locked="0"/>
    </xf>
    <xf numFmtId="44" fontId="8" fillId="3" borderId="14" xfId="2" applyFont="1" applyFill="1" applyBorder="1" applyAlignment="1" applyProtection="1">
      <protection locked="0"/>
    </xf>
    <xf numFmtId="0" fontId="8" fillId="3" borderId="15" xfId="0" applyFont="1" applyFill="1" applyBorder="1" applyProtection="1">
      <protection locked="0"/>
    </xf>
    <xf numFmtId="44" fontId="8" fillId="3" borderId="16" xfId="2" applyFont="1" applyFill="1" applyBorder="1" applyAlignment="1" applyProtection="1">
      <protection locked="0"/>
    </xf>
    <xf numFmtId="0" fontId="8" fillId="3" borderId="17" xfId="0" applyFont="1" applyFill="1" applyBorder="1" applyAlignment="1" applyProtection="1">
      <alignment horizontal="center"/>
      <protection locked="0"/>
    </xf>
    <xf numFmtId="44" fontId="8" fillId="3" borderId="18" xfId="0" applyNumberFormat="1" applyFont="1" applyFill="1" applyBorder="1" applyProtection="1">
      <protection locked="0"/>
    </xf>
    <xf numFmtId="0" fontId="8" fillId="5" borderId="0" xfId="0" applyFont="1" applyFill="1"/>
    <xf numFmtId="0" fontId="17" fillId="5" borderId="5" xfId="0" applyFont="1" applyFill="1" applyBorder="1" applyAlignment="1">
      <alignment horizontal="center"/>
    </xf>
    <xf numFmtId="0" fontId="17" fillId="5" borderId="0" xfId="0" applyFont="1" applyFill="1" applyAlignment="1">
      <alignment horizontal="center" wrapText="1"/>
    </xf>
    <xf numFmtId="0" fontId="15" fillId="5" borderId="7" xfId="0" applyFont="1" applyFill="1" applyBorder="1" applyAlignment="1">
      <alignment horizontal="centerContinuous"/>
    </xf>
    <xf numFmtId="0" fontId="17" fillId="5" borderId="8" xfId="0" applyFont="1" applyFill="1" applyBorder="1" applyAlignment="1">
      <alignment horizontal="centerContinuous"/>
    </xf>
    <xf numFmtId="0" fontId="17" fillId="5" borderId="9" xfId="0" applyFont="1" applyFill="1" applyBorder="1" applyAlignment="1">
      <alignment horizontal="centerContinuous"/>
    </xf>
    <xf numFmtId="0" fontId="15" fillId="5" borderId="19" xfId="0" applyFont="1" applyFill="1" applyBorder="1" applyAlignment="1">
      <alignment horizontal="left" wrapText="1"/>
    </xf>
    <xf numFmtId="0" fontId="17" fillId="5" borderId="20" xfId="0" applyFont="1" applyFill="1" applyBorder="1" applyAlignment="1">
      <alignment horizontal="center" wrapText="1"/>
    </xf>
    <xf numFmtId="0" fontId="16" fillId="5" borderId="19" xfId="0" applyFont="1" applyFill="1" applyBorder="1" applyAlignment="1">
      <alignment horizontal="left"/>
    </xf>
    <xf numFmtId="0" fontId="18" fillId="5" borderId="21" xfId="0" applyFont="1" applyFill="1" applyBorder="1" applyAlignment="1">
      <alignment horizontal="left"/>
    </xf>
    <xf numFmtId="0" fontId="8" fillId="5" borderId="12" xfId="0" applyFont="1" applyFill="1" applyBorder="1"/>
    <xf numFmtId="0" fontId="8" fillId="5" borderId="22" xfId="0" applyFont="1" applyFill="1" applyBorder="1"/>
    <xf numFmtId="0" fontId="8" fillId="5" borderId="14" xfId="0" applyFont="1" applyFill="1" applyBorder="1" applyProtection="1">
      <protection locked="0"/>
    </xf>
    <xf numFmtId="0" fontId="8" fillId="5" borderId="16" xfId="0" applyFont="1" applyFill="1" applyBorder="1" applyProtection="1">
      <protection locked="0"/>
    </xf>
    <xf numFmtId="0" fontId="8" fillId="5" borderId="18" xfId="0" applyFont="1" applyFill="1" applyBorder="1" applyProtection="1">
      <protection locked="0"/>
    </xf>
    <xf numFmtId="0" fontId="8" fillId="5" borderId="20" xfId="0" applyFont="1" applyFill="1" applyBorder="1" applyProtection="1">
      <protection locked="0"/>
    </xf>
    <xf numFmtId="0" fontId="15" fillId="5" borderId="23" xfId="0" applyFont="1" applyFill="1" applyBorder="1" applyAlignment="1">
      <alignment horizontal="left"/>
    </xf>
    <xf numFmtId="0" fontId="17" fillId="5" borderId="10" xfId="0" applyFont="1" applyFill="1" applyBorder="1" applyAlignment="1">
      <alignment horizontal="center"/>
    </xf>
    <xf numFmtId="174" fontId="8" fillId="3" borderId="20" xfId="0" applyNumberFormat="1" applyFont="1" applyFill="1" applyBorder="1"/>
    <xf numFmtId="174" fontId="8" fillId="3" borderId="22" xfId="0" applyNumberFormat="1" applyFont="1" applyFill="1" applyBorder="1"/>
    <xf numFmtId="0" fontId="19" fillId="0" borderId="0" xfId="0" applyFont="1"/>
    <xf numFmtId="0" fontId="20" fillId="4" borderId="24" xfId="0" applyFont="1" applyFill="1" applyBorder="1"/>
    <xf numFmtId="39" fontId="19" fillId="4" borderId="25" xfId="0" applyNumberFormat="1" applyFont="1" applyFill="1" applyBorder="1"/>
    <xf numFmtId="0" fontId="23" fillId="6" borderId="24" xfId="0" applyFont="1" applyFill="1" applyBorder="1"/>
    <xf numFmtId="0" fontId="24" fillId="4" borderId="24" xfId="0" applyFont="1" applyFill="1" applyBorder="1"/>
    <xf numFmtId="0" fontId="23" fillId="7" borderId="24" xfId="0" applyFont="1" applyFill="1" applyBorder="1"/>
    <xf numFmtId="0" fontId="23" fillId="4" borderId="24" xfId="0" applyFont="1" applyFill="1" applyBorder="1"/>
    <xf numFmtId="0" fontId="23" fillId="8" borderId="24" xfId="0" applyFont="1" applyFill="1" applyBorder="1"/>
    <xf numFmtId="0" fontId="13" fillId="5" borderId="5" xfId="0" applyFont="1" applyFill="1" applyBorder="1" applyAlignment="1">
      <alignment horizontal="center"/>
    </xf>
    <xf numFmtId="0" fontId="13" fillId="5" borderId="26" xfId="0" applyFont="1" applyFill="1" applyBorder="1" applyAlignment="1">
      <alignment horizontal="center"/>
    </xf>
    <xf numFmtId="0" fontId="11" fillId="5" borderId="6" xfId="0" applyFont="1" applyFill="1" applyBorder="1" applyAlignment="1">
      <alignment horizontal="left"/>
    </xf>
    <xf numFmtId="0" fontId="8" fillId="5" borderId="13" xfId="0" applyFont="1" applyFill="1" applyBorder="1" applyAlignment="1" applyProtection="1">
      <alignment horizontal="center"/>
      <protection locked="0"/>
    </xf>
    <xf numFmtId="44" fontId="8" fillId="5" borderId="14" xfId="2" applyFont="1" applyFill="1" applyBorder="1" applyAlignment="1" applyProtection="1">
      <protection locked="0"/>
    </xf>
    <xf numFmtId="174" fontId="8" fillId="5" borderId="27" xfId="0" applyNumberFormat="1" applyFont="1" applyFill="1" applyBorder="1"/>
    <xf numFmtId="0" fontId="8" fillId="5" borderId="15" xfId="0" applyFont="1" applyFill="1" applyBorder="1" applyAlignment="1" applyProtection="1">
      <alignment horizontal="center"/>
      <protection locked="0"/>
    </xf>
    <xf numFmtId="44" fontId="8" fillId="5" borderId="16" xfId="2" applyFont="1" applyFill="1" applyBorder="1" applyAlignment="1" applyProtection="1">
      <protection locked="0"/>
    </xf>
    <xf numFmtId="0" fontId="8" fillId="5" borderId="17" xfId="0" applyFont="1" applyFill="1" applyBorder="1" applyAlignment="1" applyProtection="1">
      <alignment horizontal="center"/>
      <protection locked="0"/>
    </xf>
    <xf numFmtId="44" fontId="8" fillId="5" borderId="18" xfId="0" applyNumberFormat="1" applyFont="1" applyFill="1" applyBorder="1" applyProtection="1">
      <protection locked="0"/>
    </xf>
    <xf numFmtId="0" fontId="12" fillId="5" borderId="6" xfId="0" applyFont="1" applyFill="1" applyBorder="1" applyAlignment="1">
      <alignment horizontal="left"/>
    </xf>
    <xf numFmtId="0" fontId="12" fillId="5" borderId="11" xfId="0" applyFont="1" applyFill="1" applyBorder="1" applyAlignment="1">
      <alignment horizontal="left"/>
    </xf>
    <xf numFmtId="174" fontId="8" fillId="5" borderId="28" xfId="0" applyNumberFormat="1" applyFont="1" applyFill="1" applyBorder="1"/>
    <xf numFmtId="0" fontId="13" fillId="9" borderId="5" xfId="0" applyFont="1" applyFill="1" applyBorder="1" applyAlignment="1">
      <alignment horizontal="center"/>
    </xf>
    <xf numFmtId="0" fontId="13" fillId="9" borderId="26" xfId="0" applyFont="1" applyFill="1" applyBorder="1" applyAlignment="1">
      <alignment horizontal="center"/>
    </xf>
    <xf numFmtId="0" fontId="11" fillId="9" borderId="19" xfId="0" applyFont="1" applyFill="1" applyBorder="1" applyAlignment="1">
      <alignment horizontal="left"/>
    </xf>
    <xf numFmtId="174" fontId="8" fillId="9" borderId="27" xfId="0" applyNumberFormat="1" applyFont="1" applyFill="1" applyBorder="1"/>
    <xf numFmtId="0" fontId="8" fillId="9" borderId="0" xfId="0" applyFont="1" applyFill="1"/>
    <xf numFmtId="0" fontId="12" fillId="9" borderId="19" xfId="0" applyFont="1" applyFill="1" applyBorder="1" applyAlignment="1">
      <alignment horizontal="left"/>
    </xf>
    <xf numFmtId="0" fontId="12" fillId="9" borderId="21" xfId="0" applyFont="1" applyFill="1" applyBorder="1" applyAlignment="1">
      <alignment horizontal="left"/>
    </xf>
    <xf numFmtId="0" fontId="8" fillId="9" borderId="12" xfId="0" applyFont="1" applyFill="1" applyBorder="1"/>
    <xf numFmtId="174" fontId="8" fillId="9" borderId="28" xfId="0" applyNumberFormat="1" applyFont="1" applyFill="1" applyBorder="1"/>
    <xf numFmtId="0" fontId="19" fillId="4" borderId="29" xfId="0" applyFont="1" applyFill="1" applyBorder="1" applyAlignment="1">
      <alignment wrapText="1"/>
    </xf>
    <xf numFmtId="40" fontId="20" fillId="4" borderId="30" xfId="0" applyNumberFormat="1" applyFont="1" applyFill="1" applyBorder="1" applyAlignment="1">
      <alignment horizontal="center" wrapText="1"/>
    </xf>
    <xf numFmtId="3" fontId="20" fillId="4" borderId="30" xfId="0" applyNumberFormat="1" applyFont="1" applyFill="1" applyBorder="1" applyAlignment="1">
      <alignment horizontal="center" wrapText="1"/>
    </xf>
    <xf numFmtId="40" fontId="20" fillId="4" borderId="31" xfId="0" applyNumberFormat="1" applyFont="1" applyFill="1" applyBorder="1" applyAlignment="1">
      <alignment horizontal="center" wrapText="1"/>
    </xf>
    <xf numFmtId="167" fontId="19" fillId="0" borderId="0" xfId="0" applyNumberFormat="1" applyFont="1" applyAlignment="1">
      <alignment wrapText="1"/>
    </xf>
    <xf numFmtId="0" fontId="19" fillId="0" borderId="0" xfId="0" applyFont="1" applyAlignment="1">
      <alignment wrapText="1"/>
    </xf>
    <xf numFmtId="40" fontId="19" fillId="4" borderId="3" xfId="0" applyNumberFormat="1" applyFont="1" applyFill="1" applyBorder="1"/>
    <xf numFmtId="3" fontId="19" fillId="4" borderId="3" xfId="0" applyNumberFormat="1" applyFont="1" applyFill="1" applyBorder="1"/>
    <xf numFmtId="40" fontId="19" fillId="4" borderId="25" xfId="0" applyNumberFormat="1" applyFont="1" applyFill="1" applyBorder="1"/>
    <xf numFmtId="167" fontId="19" fillId="0" borderId="0" xfId="0" applyNumberFormat="1" applyFont="1"/>
    <xf numFmtId="39" fontId="19" fillId="6" borderId="3" xfId="0" applyNumberFormat="1" applyFont="1" applyFill="1" applyBorder="1"/>
    <xf numFmtId="3" fontId="19" fillId="6" borderId="3" xfId="0" applyNumberFormat="1" applyFont="1" applyFill="1" applyBorder="1"/>
    <xf numFmtId="39" fontId="19" fillId="6" borderId="25" xfId="0" applyNumberFormat="1" applyFont="1" applyFill="1" applyBorder="1"/>
    <xf numFmtId="39" fontId="19" fillId="4" borderId="3" xfId="0" applyNumberFormat="1" applyFont="1" applyFill="1" applyBorder="1"/>
    <xf numFmtId="39" fontId="19" fillId="7" borderId="3" xfId="0" applyNumberFormat="1" applyFont="1" applyFill="1" applyBorder="1"/>
    <xf numFmtId="3" fontId="19" fillId="7" borderId="3" xfId="0" applyNumberFormat="1" applyFont="1" applyFill="1" applyBorder="1"/>
    <xf numFmtId="39" fontId="19" fillId="7" borderId="25" xfId="0" applyNumberFormat="1" applyFont="1" applyFill="1" applyBorder="1"/>
    <xf numFmtId="39" fontId="19" fillId="8" borderId="3" xfId="0" applyNumberFormat="1" applyFont="1" applyFill="1" applyBorder="1"/>
    <xf numFmtId="3" fontId="19" fillId="8" borderId="3" xfId="0" applyNumberFormat="1" applyFont="1" applyFill="1" applyBorder="1"/>
    <xf numFmtId="39" fontId="19" fillId="8" borderId="25" xfId="0" applyNumberFormat="1" applyFont="1" applyFill="1" applyBorder="1"/>
    <xf numFmtId="39" fontId="19" fillId="10" borderId="3" xfId="0" applyNumberFormat="1" applyFont="1" applyFill="1" applyBorder="1"/>
    <xf numFmtId="3" fontId="19" fillId="10" borderId="3" xfId="0" applyNumberFormat="1" applyFont="1" applyFill="1" applyBorder="1"/>
    <xf numFmtId="39" fontId="19" fillId="10" borderId="25" xfId="0" applyNumberFormat="1" applyFont="1" applyFill="1" applyBorder="1"/>
    <xf numFmtId="167" fontId="21" fillId="4" borderId="7" xfId="0" applyNumberFormat="1" applyFont="1" applyFill="1" applyBorder="1" applyAlignment="1">
      <alignment horizontal="center"/>
    </xf>
    <xf numFmtId="167" fontId="21" fillId="4" borderId="9" xfId="0" applyNumberFormat="1" applyFont="1" applyFill="1" applyBorder="1" applyAlignment="1">
      <alignment horizontal="center"/>
    </xf>
    <xf numFmtId="167" fontId="21" fillId="4" borderId="19" xfId="0" applyNumberFormat="1" applyFont="1" applyFill="1" applyBorder="1" applyAlignment="1">
      <alignment horizontal="center"/>
    </xf>
    <xf numFmtId="167" fontId="21" fillId="4" borderId="20" xfId="0" applyNumberFormat="1" applyFont="1" applyFill="1" applyBorder="1" applyAlignment="1">
      <alignment horizontal="center"/>
    </xf>
    <xf numFmtId="40" fontId="19" fillId="4" borderId="24" xfId="0" applyNumberFormat="1" applyFont="1" applyFill="1" applyBorder="1" applyAlignment="1">
      <alignment horizontal="center"/>
    </xf>
    <xf numFmtId="40" fontId="19" fillId="4" borderId="25" xfId="0" applyNumberFormat="1" applyFont="1" applyFill="1" applyBorder="1" applyAlignment="1">
      <alignment horizontal="center"/>
    </xf>
    <xf numFmtId="40" fontId="19" fillId="4" borderId="3" xfId="0" applyNumberFormat="1" applyFont="1" applyFill="1" applyBorder="1" applyAlignment="1">
      <alignment horizontal="center"/>
    </xf>
    <xf numFmtId="40" fontId="19" fillId="4" borderId="32" xfId="0" applyNumberFormat="1" applyFont="1" applyFill="1" applyBorder="1" applyAlignment="1">
      <alignment horizontal="center"/>
    </xf>
    <xf numFmtId="40" fontId="19" fillId="4" borderId="33" xfId="0" applyNumberFormat="1" applyFont="1" applyFill="1" applyBorder="1" applyAlignment="1">
      <alignment horizontal="center"/>
    </xf>
    <xf numFmtId="0" fontId="19" fillId="10" borderId="34" xfId="0" applyFont="1" applyFill="1" applyBorder="1"/>
    <xf numFmtId="39" fontId="19" fillId="10" borderId="32" xfId="0" applyNumberFormat="1" applyFont="1" applyFill="1" applyBorder="1"/>
    <xf numFmtId="3" fontId="19" fillId="10" borderId="32" xfId="0" applyNumberFormat="1" applyFont="1" applyFill="1" applyBorder="1"/>
    <xf numFmtId="39" fontId="19" fillId="10" borderId="33" xfId="0" applyNumberFormat="1" applyFont="1" applyFill="1" applyBorder="1"/>
    <xf numFmtId="40" fontId="19" fillId="0" borderId="0" xfId="0" applyNumberFormat="1" applyFont="1"/>
    <xf numFmtId="3" fontId="19" fillId="0" borderId="0" xfId="0" applyNumberFormat="1" applyFont="1"/>
    <xf numFmtId="0" fontId="23" fillId="10" borderId="24" xfId="0" applyFont="1" applyFill="1" applyBorder="1"/>
    <xf numFmtId="0" fontId="23" fillId="9" borderId="5" xfId="0" applyFont="1" applyFill="1" applyBorder="1" applyAlignment="1">
      <alignment horizontal="center"/>
    </xf>
    <xf numFmtId="0" fontId="29" fillId="9" borderId="23" xfId="0" applyFont="1" applyFill="1" applyBorder="1" applyAlignment="1">
      <alignment horizontal="left"/>
    </xf>
    <xf numFmtId="0" fontId="29" fillId="9" borderId="19" xfId="0" applyFont="1" applyFill="1" applyBorder="1" applyAlignment="1">
      <alignment horizontal="left"/>
    </xf>
    <xf numFmtId="0" fontId="29" fillId="5" borderId="4" xfId="0" applyFont="1" applyFill="1" applyBorder="1" applyAlignment="1">
      <alignment horizontal="left"/>
    </xf>
    <xf numFmtId="0" fontId="29" fillId="5" borderId="6" xfId="0" applyFont="1" applyFill="1" applyBorder="1" applyAlignment="1">
      <alignment horizontal="left"/>
    </xf>
    <xf numFmtId="0" fontId="30" fillId="9" borderId="0" xfId="0" applyFont="1" applyFill="1" applyAlignment="1">
      <alignment horizontal="center"/>
    </xf>
    <xf numFmtId="0" fontId="30" fillId="9" borderId="27" xfId="0" applyFont="1" applyFill="1" applyBorder="1" applyAlignment="1">
      <alignment horizontal="center"/>
    </xf>
    <xf numFmtId="0" fontId="30" fillId="5" borderId="0" xfId="0" applyFont="1" applyFill="1" applyAlignment="1" applyProtection="1">
      <alignment horizontal="center"/>
      <protection locked="0"/>
    </xf>
    <xf numFmtId="0" fontId="30" fillId="5" borderId="27" xfId="0" applyFont="1" applyFill="1" applyBorder="1" applyAlignment="1">
      <alignment horizontal="center"/>
    </xf>
    <xf numFmtId="0" fontId="30" fillId="3" borderId="0" xfId="0" applyFont="1" applyFill="1" applyAlignment="1">
      <alignment horizontal="center"/>
    </xf>
    <xf numFmtId="0" fontId="30" fillId="3" borderId="20" xfId="0" applyFont="1" applyFill="1" applyBorder="1" applyAlignment="1">
      <alignment horizontal="center"/>
    </xf>
    <xf numFmtId="0" fontId="0" fillId="0" borderId="0" xfId="0" applyProtection="1">
      <protection locked="0"/>
    </xf>
    <xf numFmtId="164" fontId="0" fillId="0" borderId="0" xfId="1" applyNumberFormat="1" applyFont="1" applyBorder="1" applyProtection="1">
      <protection locked="0"/>
    </xf>
    <xf numFmtId="0" fontId="19" fillId="0" borderId="0" xfId="0" applyFont="1" applyProtection="1">
      <protection locked="0"/>
    </xf>
    <xf numFmtId="164" fontId="19" fillId="0" borderId="0" xfId="1" applyNumberFormat="1" applyFont="1" applyProtection="1">
      <protection locked="0"/>
    </xf>
    <xf numFmtId="164" fontId="19" fillId="0" borderId="0" xfId="1" applyNumberFormat="1" applyFont="1" applyFill="1" applyProtection="1">
      <protection locked="0"/>
    </xf>
    <xf numFmtId="164" fontId="21" fillId="4" borderId="31" xfId="1" applyNumberFormat="1" applyFont="1" applyFill="1" applyBorder="1" applyAlignment="1" applyProtection="1">
      <alignment horizontal="right"/>
      <protection locked="0"/>
    </xf>
    <xf numFmtId="9" fontId="19" fillId="0" borderId="0" xfId="0" applyNumberFormat="1" applyFont="1" applyProtection="1">
      <protection locked="0"/>
    </xf>
    <xf numFmtId="173" fontId="19" fillId="4" borderId="35" xfId="0" applyNumberFormat="1" applyFont="1" applyFill="1" applyBorder="1" applyProtection="1">
      <protection locked="0"/>
    </xf>
    <xf numFmtId="173" fontId="19" fillId="4" borderId="36" xfId="0" applyNumberFormat="1" applyFont="1" applyFill="1" applyBorder="1" applyProtection="1">
      <protection locked="0"/>
    </xf>
    <xf numFmtId="173" fontId="19" fillId="4" borderId="35" xfId="0" applyNumberFormat="1" applyFont="1" applyFill="1" applyBorder="1" applyAlignment="1" applyProtection="1">
      <alignment horizontal="right"/>
      <protection locked="0"/>
    </xf>
    <xf numFmtId="173" fontId="19" fillId="4" borderId="36" xfId="0" applyNumberFormat="1" applyFont="1" applyFill="1" applyBorder="1" applyAlignment="1" applyProtection="1">
      <alignment horizontal="right"/>
      <protection locked="0"/>
    </xf>
    <xf numFmtId="173" fontId="19" fillId="4" borderId="37" xfId="0" applyNumberFormat="1" applyFont="1" applyFill="1" applyBorder="1" applyAlignment="1" applyProtection="1">
      <alignment horizontal="right"/>
      <protection locked="0"/>
    </xf>
    <xf numFmtId="173" fontId="19" fillId="4" borderId="38" xfId="0" applyNumberFormat="1" applyFont="1" applyFill="1" applyBorder="1" applyAlignment="1" applyProtection="1">
      <alignment horizontal="right"/>
      <protection locked="0"/>
    </xf>
    <xf numFmtId="0" fontId="22" fillId="0" borderId="0" xfId="0" applyFont="1" applyProtection="1">
      <protection locked="0"/>
    </xf>
    <xf numFmtId="164" fontId="0" fillId="0" borderId="0" xfId="1" applyNumberFormat="1" applyFont="1" applyProtection="1">
      <protection locked="0"/>
    </xf>
    <xf numFmtId="0" fontId="31" fillId="9" borderId="13" xfId="0" applyFont="1" applyFill="1" applyBorder="1" applyAlignment="1" applyProtection="1">
      <alignment horizontal="center"/>
      <protection locked="0"/>
    </xf>
    <xf numFmtId="44" fontId="31" fillId="9" borderId="14" xfId="2" applyFont="1" applyFill="1" applyBorder="1" applyAlignment="1" applyProtection="1">
      <protection locked="0"/>
    </xf>
    <xf numFmtId="0" fontId="31" fillId="9" borderId="15" xfId="0" applyFont="1" applyFill="1" applyBorder="1" applyAlignment="1" applyProtection="1">
      <alignment horizontal="center"/>
      <protection locked="0"/>
    </xf>
    <xf numFmtId="44" fontId="31" fillId="9" borderId="16" xfId="2" applyFont="1" applyFill="1" applyBorder="1" applyAlignment="1" applyProtection="1">
      <protection locked="0"/>
    </xf>
    <xf numFmtId="0" fontId="31" fillId="9" borderId="17" xfId="0" applyFont="1" applyFill="1" applyBorder="1" applyAlignment="1" applyProtection="1">
      <alignment horizontal="center"/>
      <protection locked="0"/>
    </xf>
    <xf numFmtId="44" fontId="31" fillId="9" borderId="18" xfId="0" applyNumberFormat="1" applyFont="1" applyFill="1" applyBorder="1" applyProtection="1">
      <protection locked="0"/>
    </xf>
    <xf numFmtId="173" fontId="0" fillId="4" borderId="0" xfId="0" applyNumberFormat="1" applyFill="1" applyProtection="1">
      <protection locked="0"/>
    </xf>
    <xf numFmtId="2" fontId="0" fillId="6" borderId="0" xfId="0" applyNumberFormat="1" applyFill="1" applyProtection="1">
      <protection locked="0"/>
    </xf>
    <xf numFmtId="173" fontId="1" fillId="4" borderId="0" xfId="0" applyNumberFormat="1" applyFont="1" applyFill="1" applyProtection="1">
      <protection locked="0"/>
    </xf>
    <xf numFmtId="0" fontId="1" fillId="6" borderId="0" xfId="0" applyFont="1" applyFill="1" applyAlignment="1" applyProtection="1">
      <alignment horizontal="right"/>
      <protection locked="0"/>
    </xf>
    <xf numFmtId="175" fontId="0" fillId="4" borderId="0" xfId="0" applyNumberFormat="1" applyFill="1" applyProtection="1">
      <protection locked="0"/>
    </xf>
    <xf numFmtId="173" fontId="0" fillId="6" borderId="0" xfId="0" applyNumberFormat="1" applyFill="1" applyProtection="1">
      <protection locked="0"/>
    </xf>
    <xf numFmtId="2" fontId="1" fillId="11" borderId="39" xfId="0" applyNumberFormat="1" applyFont="1" applyFill="1" applyBorder="1" applyAlignment="1" applyProtection="1">
      <alignment horizontal="right"/>
      <protection locked="0"/>
    </xf>
    <xf numFmtId="176" fontId="0" fillId="11" borderId="39" xfId="0" applyNumberFormat="1" applyFill="1" applyBorder="1" applyProtection="1">
      <protection locked="0"/>
    </xf>
    <xf numFmtId="177" fontId="0" fillId="4" borderId="0" xfId="0" applyNumberFormat="1" applyFill="1" applyProtection="1">
      <protection locked="0"/>
    </xf>
    <xf numFmtId="177" fontId="0" fillId="6" borderId="0" xfId="0" applyNumberFormat="1" applyFill="1" applyProtection="1">
      <protection locked="0"/>
    </xf>
    <xf numFmtId="173" fontId="28" fillId="6" borderId="40" xfId="0" applyNumberFormat="1" applyFont="1" applyFill="1" applyBorder="1" applyAlignment="1" applyProtection="1">
      <alignment horizontal="center" vertical="top"/>
      <protection locked="0"/>
    </xf>
    <xf numFmtId="173" fontId="28" fillId="6" borderId="41" xfId="0" applyNumberFormat="1" applyFont="1" applyFill="1" applyBorder="1" applyAlignment="1" applyProtection="1">
      <alignment horizontal="center" vertical="top"/>
      <protection locked="0"/>
    </xf>
    <xf numFmtId="0" fontId="19" fillId="0" borderId="19" xfId="0" applyFont="1" applyBorder="1" applyProtection="1">
      <protection locked="0"/>
    </xf>
    <xf numFmtId="173" fontId="19" fillId="0" borderId="19" xfId="0" applyNumberFormat="1" applyFont="1" applyBorder="1" applyProtection="1">
      <protection locked="0"/>
    </xf>
    <xf numFmtId="0" fontId="23" fillId="4" borderId="24" xfId="0" applyFont="1" applyFill="1" applyBorder="1" applyAlignment="1" applyProtection="1">
      <alignment vertical="top"/>
      <protection locked="0"/>
    </xf>
    <xf numFmtId="0" fontId="24" fillId="4" borderId="24" xfId="0" applyFont="1" applyFill="1" applyBorder="1" applyAlignment="1" applyProtection="1">
      <alignment vertical="top"/>
      <protection locked="0"/>
    </xf>
    <xf numFmtId="0" fontId="23" fillId="4" borderId="34" xfId="0" applyFont="1" applyFill="1" applyBorder="1" applyAlignment="1" applyProtection="1">
      <alignment vertical="top"/>
      <protection locked="0"/>
    </xf>
    <xf numFmtId="173" fontId="28" fillId="4" borderId="42" xfId="0" applyNumberFormat="1" applyFont="1" applyFill="1" applyBorder="1" applyAlignment="1">
      <alignment horizontal="center" vertical="top"/>
    </xf>
    <xf numFmtId="173" fontId="32" fillId="8" borderId="43" xfId="0" applyNumberFormat="1" applyFont="1" applyFill="1" applyBorder="1" applyAlignment="1">
      <alignment horizontal="center" vertical="top"/>
    </xf>
    <xf numFmtId="178" fontId="0" fillId="11" borderId="39" xfId="0" applyNumberFormat="1" applyFill="1" applyBorder="1" applyProtection="1">
      <protection locked="0"/>
    </xf>
    <xf numFmtId="164" fontId="19" fillId="4" borderId="44" xfId="1" applyNumberFormat="1" applyFont="1" applyFill="1" applyBorder="1" applyAlignment="1" applyProtection="1">
      <alignment vertical="top"/>
      <protection locked="0"/>
    </xf>
    <xf numFmtId="164" fontId="19" fillId="4" borderId="25" xfId="1" applyNumberFormat="1" applyFont="1" applyFill="1" applyBorder="1" applyAlignment="1" applyProtection="1">
      <alignment vertical="top"/>
      <protection locked="0"/>
    </xf>
    <xf numFmtId="164" fontId="19" fillId="4" borderId="20" xfId="1" applyNumberFormat="1" applyFont="1" applyFill="1" applyBorder="1" applyAlignment="1" applyProtection="1">
      <alignment vertical="top"/>
      <protection locked="0"/>
    </xf>
    <xf numFmtId="164" fontId="19" fillId="4" borderId="45" xfId="1" applyNumberFormat="1" applyFont="1" applyFill="1" applyBorder="1" applyAlignment="1" applyProtection="1">
      <alignment vertical="top"/>
      <protection locked="0"/>
    </xf>
    <xf numFmtId="164" fontId="19" fillId="4" borderId="46" xfId="1" applyNumberFormat="1" applyFont="1" applyFill="1" applyBorder="1" applyAlignment="1" applyProtection="1">
      <alignment vertical="top"/>
      <protection locked="0"/>
    </xf>
    <xf numFmtId="3" fontId="27" fillId="4" borderId="24" xfId="0" applyNumberFormat="1" applyFont="1" applyFill="1" applyBorder="1" applyAlignment="1" applyProtection="1">
      <alignment vertical="top"/>
      <protection locked="0"/>
    </xf>
    <xf numFmtId="164" fontId="27" fillId="4" borderId="25" xfId="1" applyNumberFormat="1" applyFont="1" applyFill="1" applyBorder="1" applyAlignment="1" applyProtection="1">
      <alignment vertical="top"/>
      <protection locked="0"/>
    </xf>
    <xf numFmtId="173" fontId="27" fillId="4" borderId="47" xfId="0" applyNumberFormat="1" applyFont="1" applyFill="1" applyBorder="1" applyAlignment="1" applyProtection="1">
      <alignment vertical="top"/>
      <protection locked="0"/>
    </xf>
    <xf numFmtId="164" fontId="27" fillId="4" borderId="48" xfId="1" applyNumberFormat="1" applyFont="1" applyFill="1" applyBorder="1" applyAlignment="1" applyProtection="1">
      <alignment vertical="top"/>
      <protection locked="0"/>
    </xf>
    <xf numFmtId="39" fontId="27" fillId="4" borderId="34" xfId="0" applyNumberFormat="1" applyFont="1" applyFill="1" applyBorder="1" applyAlignment="1" applyProtection="1">
      <alignment vertical="top"/>
      <protection locked="0"/>
    </xf>
    <xf numFmtId="164" fontId="27" fillId="4" borderId="33" xfId="1" applyNumberFormat="1" applyFont="1" applyFill="1" applyBorder="1" applyAlignment="1" applyProtection="1">
      <alignment vertical="top"/>
      <protection locked="0"/>
    </xf>
    <xf numFmtId="3" fontId="0" fillId="4" borderId="49" xfId="0" applyNumberFormat="1" applyFill="1" applyBorder="1" applyProtection="1">
      <protection locked="0"/>
    </xf>
    <xf numFmtId="3" fontId="0" fillId="6" borderId="49" xfId="0" applyNumberFormat="1" applyFill="1" applyBorder="1" applyProtection="1">
      <protection locked="0"/>
    </xf>
    <xf numFmtId="0" fontId="0" fillId="4" borderId="50" xfId="0" applyFill="1" applyBorder="1" applyProtection="1">
      <protection locked="0"/>
    </xf>
    <xf numFmtId="0" fontId="1" fillId="4" borderId="51" xfId="0" applyFont="1" applyFill="1" applyBorder="1" applyAlignment="1" applyProtection="1">
      <alignment horizontal="right"/>
      <protection locked="0"/>
    </xf>
    <xf numFmtId="0" fontId="0" fillId="4" borderId="52" xfId="0" applyFill="1" applyBorder="1" applyProtection="1">
      <protection locked="0"/>
    </xf>
    <xf numFmtId="0" fontId="1" fillId="4" borderId="0" xfId="0" applyFont="1" applyFill="1" applyAlignment="1" applyProtection="1">
      <alignment horizontal="right"/>
      <protection locked="0"/>
    </xf>
    <xf numFmtId="0" fontId="0" fillId="4" borderId="53" xfId="0" applyFill="1" applyBorder="1" applyProtection="1">
      <protection locked="0"/>
    </xf>
    <xf numFmtId="0" fontId="1" fillId="4" borderId="54" xfId="0" applyFont="1" applyFill="1" applyBorder="1" applyAlignment="1" applyProtection="1">
      <alignment horizontal="right"/>
      <protection locked="0"/>
    </xf>
    <xf numFmtId="173" fontId="1" fillId="4" borderId="51" xfId="0" applyNumberFormat="1" applyFont="1" applyFill="1" applyBorder="1" applyProtection="1">
      <protection locked="0"/>
    </xf>
    <xf numFmtId="173" fontId="0" fillId="4" borderId="51" xfId="0" applyNumberFormat="1" applyFill="1" applyBorder="1" applyProtection="1">
      <protection locked="0"/>
    </xf>
    <xf numFmtId="0" fontId="0" fillId="12" borderId="0" xfId="0" applyFill="1"/>
    <xf numFmtId="0" fontId="0" fillId="13" borderId="0" xfId="0" applyFill="1"/>
    <xf numFmtId="0" fontId="0" fillId="14" borderId="0" xfId="0" applyFill="1"/>
    <xf numFmtId="165" fontId="3" fillId="12" borderId="55" xfId="1" applyNumberFormat="1" applyFill="1" applyBorder="1"/>
    <xf numFmtId="165" fontId="3" fillId="2" borderId="55" xfId="1" applyNumberFormat="1" applyFill="1" applyBorder="1"/>
    <xf numFmtId="43" fontId="3" fillId="2" borderId="0" xfId="1" applyFill="1" applyAlignment="1">
      <alignment horizontal="right"/>
    </xf>
    <xf numFmtId="9" fontId="3" fillId="13" borderId="0" xfId="5" applyFill="1"/>
    <xf numFmtId="0" fontId="0" fillId="2" borderId="0" xfId="0" applyFill="1" applyAlignment="1">
      <alignment horizontal="right"/>
    </xf>
    <xf numFmtId="0" fontId="0" fillId="2" borderId="56" xfId="0" applyFill="1" applyBorder="1"/>
    <xf numFmtId="0" fontId="0" fillId="2" borderId="57" xfId="0" applyFill="1" applyBorder="1"/>
    <xf numFmtId="0" fontId="0" fillId="2" borderId="58" xfId="0" applyFill="1" applyBorder="1"/>
    <xf numFmtId="0" fontId="0" fillId="2" borderId="40" xfId="0" applyFill="1" applyBorder="1" applyAlignment="1">
      <alignment horizontal="center"/>
    </xf>
    <xf numFmtId="0" fontId="0" fillId="2" borderId="43" xfId="0" applyFill="1" applyBorder="1"/>
    <xf numFmtId="43" fontId="3" fillId="2" borderId="55" xfId="1" applyFill="1" applyBorder="1" applyAlignment="1">
      <alignment horizontal="center"/>
    </xf>
    <xf numFmtId="43" fontId="3" fillId="2" borderId="1" xfId="1" applyFill="1" applyBorder="1" applyAlignment="1">
      <alignment horizontal="center"/>
    </xf>
    <xf numFmtId="0" fontId="0" fillId="2" borderId="59" xfId="0" applyFill="1" applyBorder="1"/>
    <xf numFmtId="43" fontId="3" fillId="2" borderId="0" xfId="1" applyFont="1" applyFill="1" applyAlignment="1">
      <alignment horizontal="right"/>
    </xf>
    <xf numFmtId="0" fontId="1" fillId="14" borderId="0" xfId="0" applyFont="1" applyFill="1"/>
    <xf numFmtId="167" fontId="0" fillId="14" borderId="0" xfId="0" applyNumberFormat="1" applyFill="1"/>
    <xf numFmtId="164" fontId="3" fillId="14" borderId="0" xfId="1" applyNumberFormat="1" applyFill="1"/>
    <xf numFmtId="164" fontId="4" fillId="14" borderId="0" xfId="1" applyNumberFormat="1" applyFont="1" applyFill="1"/>
    <xf numFmtId="164" fontId="5" fillId="14" borderId="0" xfId="1" applyNumberFormat="1" applyFont="1" applyFill="1"/>
    <xf numFmtId="0" fontId="2" fillId="2" borderId="0" xfId="0" applyFont="1" applyFill="1" applyAlignment="1">
      <alignment horizontal="center" wrapText="1"/>
    </xf>
    <xf numFmtId="44" fontId="3" fillId="14" borderId="0" xfId="2" applyFill="1"/>
    <xf numFmtId="179" fontId="0" fillId="4" borderId="60" xfId="0" applyNumberFormat="1" applyFill="1" applyBorder="1" applyProtection="1">
      <protection locked="0"/>
    </xf>
    <xf numFmtId="179" fontId="0" fillId="4" borderId="61" xfId="0" applyNumberFormat="1" applyFill="1" applyBorder="1" applyProtection="1">
      <protection locked="0"/>
    </xf>
    <xf numFmtId="179" fontId="0" fillId="4" borderId="62" xfId="0" applyNumberFormat="1" applyFill="1" applyBorder="1" applyProtection="1">
      <protection locked="0"/>
    </xf>
    <xf numFmtId="179" fontId="0" fillId="4" borderId="63" xfId="0" applyNumberFormat="1" applyFill="1" applyBorder="1" applyProtection="1">
      <protection locked="0"/>
    </xf>
    <xf numFmtId="179" fontId="0" fillId="6" borderId="49" xfId="0" applyNumberFormat="1" applyFill="1" applyBorder="1" applyProtection="1">
      <protection locked="0"/>
    </xf>
    <xf numFmtId="179" fontId="0" fillId="4" borderId="49" xfId="0" applyNumberFormat="1" applyFill="1" applyBorder="1" applyProtection="1">
      <protection locked="0"/>
    </xf>
    <xf numFmtId="179" fontId="0" fillId="11" borderId="64" xfId="0" applyNumberFormat="1" applyFill="1" applyBorder="1" applyProtection="1">
      <protection locked="0"/>
    </xf>
    <xf numFmtId="164" fontId="0" fillId="0" borderId="0" xfId="1" applyNumberFormat="1" applyFont="1" applyAlignment="1" applyProtection="1">
      <alignment horizontal="right"/>
      <protection locked="0"/>
    </xf>
    <xf numFmtId="164" fontId="0" fillId="0" borderId="65" xfId="1" applyNumberFormat="1" applyFont="1" applyBorder="1" applyProtection="1">
      <protection locked="0"/>
    </xf>
    <xf numFmtId="0" fontId="0" fillId="0" borderId="43" xfId="0" applyBorder="1" applyProtection="1">
      <protection locked="0"/>
    </xf>
    <xf numFmtId="0" fontId="0" fillId="0" borderId="40" xfId="0" applyBorder="1" applyProtection="1">
      <protection locked="0"/>
    </xf>
    <xf numFmtId="0" fontId="0" fillId="0" borderId="66" xfId="0" applyBorder="1" applyProtection="1">
      <protection locked="0"/>
    </xf>
    <xf numFmtId="0" fontId="0" fillId="0" borderId="1" xfId="0" applyBorder="1" applyProtection="1">
      <protection locked="0"/>
    </xf>
    <xf numFmtId="0" fontId="0" fillId="0" borderId="59" xfId="0" applyBorder="1" applyProtection="1">
      <protection locked="0"/>
    </xf>
    <xf numFmtId="1" fontId="0" fillId="0" borderId="0" xfId="1" applyNumberFormat="1" applyFont="1" applyBorder="1" applyProtection="1">
      <protection locked="0"/>
    </xf>
    <xf numFmtId="1" fontId="0" fillId="0" borderId="0" xfId="0" applyNumberFormat="1" applyProtection="1">
      <protection locked="0"/>
    </xf>
    <xf numFmtId="1" fontId="0" fillId="2" borderId="0" xfId="0" applyNumberFormat="1" applyFill="1" applyProtection="1">
      <protection locked="0"/>
    </xf>
    <xf numFmtId="164" fontId="0" fillId="0" borderId="0" xfId="1" applyNumberFormat="1" applyFont="1" applyAlignment="1" applyProtection="1">
      <protection locked="0"/>
    </xf>
    <xf numFmtId="1" fontId="1" fillId="2" borderId="40" xfId="0" applyNumberFormat="1" applyFont="1" applyFill="1" applyBorder="1" applyProtection="1">
      <protection locked="0"/>
    </xf>
    <xf numFmtId="1" fontId="1" fillId="2" borderId="0" xfId="0" applyNumberFormat="1" applyFont="1" applyFill="1" applyProtection="1">
      <protection locked="0"/>
    </xf>
    <xf numFmtId="0" fontId="1" fillId="2" borderId="67" xfId="0" applyFont="1" applyFill="1" applyBorder="1" applyProtection="1">
      <protection locked="0"/>
    </xf>
    <xf numFmtId="0" fontId="1" fillId="2" borderId="3" xfId="0" applyFont="1" applyFill="1" applyBorder="1" applyProtection="1">
      <protection locked="0"/>
    </xf>
    <xf numFmtId="0" fontId="0" fillId="0" borderId="68" xfId="0" applyBorder="1" applyProtection="1">
      <protection locked="0"/>
    </xf>
    <xf numFmtId="0" fontId="0" fillId="0" borderId="57" xfId="0" applyBorder="1" applyProtection="1">
      <protection locked="0"/>
    </xf>
    <xf numFmtId="0" fontId="0" fillId="0" borderId="58" xfId="0" applyBorder="1" applyProtection="1">
      <protection locked="0"/>
    </xf>
    <xf numFmtId="0" fontId="1" fillId="0" borderId="67" xfId="0" applyFont="1" applyBorder="1" applyProtection="1">
      <protection locked="0"/>
    </xf>
    <xf numFmtId="0" fontId="1" fillId="0" borderId="68" xfId="0" applyFont="1" applyBorder="1" applyProtection="1">
      <protection locked="0"/>
    </xf>
    <xf numFmtId="0" fontId="23" fillId="2" borderId="0" xfId="0" applyFont="1" applyFill="1" applyAlignment="1" applyProtection="1">
      <alignment vertical="top"/>
      <protection locked="0"/>
    </xf>
    <xf numFmtId="173" fontId="19" fillId="2" borderId="0" xfId="0" applyNumberFormat="1" applyFont="1" applyFill="1" applyAlignment="1" applyProtection="1">
      <alignment horizontal="right"/>
      <protection locked="0"/>
    </xf>
    <xf numFmtId="0" fontId="23" fillId="2" borderId="0" xfId="0" applyFont="1" applyFill="1" applyAlignment="1" applyProtection="1">
      <alignment horizontal="right" vertical="top"/>
      <protection locked="0"/>
    </xf>
    <xf numFmtId="173" fontId="19" fillId="6" borderId="55" xfId="0" applyNumberFormat="1" applyFont="1" applyFill="1" applyBorder="1" applyAlignment="1" applyProtection="1">
      <alignment horizontal="right"/>
      <protection locked="0"/>
    </xf>
    <xf numFmtId="0" fontId="22" fillId="0" borderId="0" xfId="0" applyFont="1" applyAlignment="1" applyProtection="1">
      <alignment horizontal="right"/>
      <protection locked="0"/>
    </xf>
    <xf numFmtId="0" fontId="0" fillId="6" borderId="55" xfId="0" applyFill="1" applyBorder="1" applyProtection="1">
      <protection locked="0"/>
    </xf>
    <xf numFmtId="0" fontId="0" fillId="2" borderId="0" xfId="0" applyFill="1" applyProtection="1">
      <protection locked="0"/>
    </xf>
    <xf numFmtId="0" fontId="22" fillId="2" borderId="0" xfId="0" applyFont="1" applyFill="1" applyAlignment="1" applyProtection="1">
      <alignment horizontal="right"/>
      <protection locked="0"/>
    </xf>
    <xf numFmtId="0" fontId="19" fillId="2" borderId="0" xfId="0" applyFont="1" applyFill="1" applyProtection="1">
      <protection locked="0"/>
    </xf>
    <xf numFmtId="164" fontId="19" fillId="2" borderId="0" xfId="1" applyNumberFormat="1" applyFont="1" applyFill="1" applyProtection="1">
      <protection locked="0"/>
    </xf>
    <xf numFmtId="0" fontId="1" fillId="2" borderId="0" xfId="0" applyFont="1" applyFill="1" applyAlignment="1" applyProtection="1">
      <alignment horizontal="center"/>
      <protection locked="0"/>
    </xf>
    <xf numFmtId="0" fontId="0" fillId="4" borderId="55" xfId="0" applyFill="1" applyBorder="1" applyProtection="1">
      <protection locked="0"/>
    </xf>
    <xf numFmtId="173" fontId="27" fillId="2" borderId="0" xfId="0" applyNumberFormat="1" applyFont="1" applyFill="1" applyAlignment="1" applyProtection="1">
      <alignment horizontal="center" wrapText="1"/>
      <protection locked="0"/>
    </xf>
    <xf numFmtId="173" fontId="19" fillId="7" borderId="55" xfId="0" applyNumberFormat="1" applyFont="1" applyFill="1" applyBorder="1" applyAlignment="1" applyProtection="1">
      <alignment horizontal="right"/>
      <protection locked="0"/>
    </xf>
    <xf numFmtId="173" fontId="19" fillId="15" borderId="55" xfId="0" applyNumberFormat="1" applyFont="1" applyFill="1" applyBorder="1" applyAlignment="1" applyProtection="1">
      <alignment horizontal="right"/>
      <protection locked="0"/>
    </xf>
    <xf numFmtId="173" fontId="27" fillId="2" borderId="40" xfId="0" applyNumberFormat="1" applyFont="1" applyFill="1" applyBorder="1" applyAlignment="1" applyProtection="1">
      <alignment horizontal="center" wrapText="1"/>
      <protection locked="0"/>
    </xf>
    <xf numFmtId="2" fontId="0" fillId="4" borderId="55" xfId="0" applyNumberFormat="1" applyFill="1" applyBorder="1" applyProtection="1">
      <protection locked="0"/>
    </xf>
    <xf numFmtId="1" fontId="1" fillId="0" borderId="0" xfId="0" applyNumberFormat="1" applyFont="1" applyProtection="1">
      <protection locked="0"/>
    </xf>
    <xf numFmtId="1" fontId="1" fillId="4" borderId="69" xfId="0" applyNumberFormat="1" applyFont="1" applyFill="1" applyBorder="1" applyAlignment="1" applyProtection="1">
      <alignment horizontal="right"/>
      <protection locked="0"/>
    </xf>
    <xf numFmtId="1" fontId="0" fillId="4" borderId="70" xfId="0" applyNumberFormat="1" applyFill="1" applyBorder="1" applyProtection="1">
      <protection locked="0"/>
    </xf>
    <xf numFmtId="1" fontId="0" fillId="4" borderId="71" xfId="0" applyNumberFormat="1" applyFill="1" applyBorder="1" applyProtection="1">
      <protection locked="0"/>
    </xf>
    <xf numFmtId="1" fontId="22" fillId="6" borderId="72" xfId="0" applyNumberFormat="1" applyFont="1" applyFill="1" applyBorder="1" applyAlignment="1" applyProtection="1">
      <alignment horizontal="right"/>
      <protection locked="0"/>
    </xf>
    <xf numFmtId="1" fontId="0" fillId="6" borderId="39" xfId="0" applyNumberFormat="1" applyFill="1" applyBorder="1" applyProtection="1">
      <protection locked="0"/>
    </xf>
    <xf numFmtId="1" fontId="0" fillId="6" borderId="73" xfId="0" applyNumberFormat="1" applyFill="1" applyBorder="1" applyProtection="1">
      <protection locked="0"/>
    </xf>
    <xf numFmtId="0" fontId="34" fillId="0" borderId="67" xfId="0" applyFont="1" applyBorder="1" applyProtection="1">
      <protection locked="0"/>
    </xf>
    <xf numFmtId="0" fontId="34" fillId="0" borderId="3" xfId="0" applyFont="1" applyBorder="1" applyProtection="1">
      <protection locked="0"/>
    </xf>
    <xf numFmtId="179" fontId="34" fillId="0" borderId="68" xfId="0" applyNumberFormat="1" applyFont="1" applyBorder="1" applyProtection="1">
      <protection locked="0"/>
    </xf>
    <xf numFmtId="0" fontId="22" fillId="2" borderId="0" xfId="0" applyFont="1" applyFill="1" applyAlignment="1" applyProtection="1">
      <alignment horizontal="center"/>
      <protection locked="0"/>
    </xf>
    <xf numFmtId="1" fontId="33" fillId="2" borderId="74" xfId="0" applyNumberFormat="1" applyFont="1" applyFill="1" applyBorder="1" applyAlignment="1" applyProtection="1">
      <alignment horizontal="center" wrapText="1"/>
      <protection locked="0"/>
    </xf>
    <xf numFmtId="1" fontId="33" fillId="2" borderId="74" xfId="0" applyNumberFormat="1" applyFont="1" applyFill="1" applyBorder="1" applyProtection="1">
      <protection locked="0"/>
    </xf>
    <xf numFmtId="1" fontId="33" fillId="2" borderId="39" xfId="0" applyNumberFormat="1" applyFont="1" applyFill="1" applyBorder="1" applyProtection="1">
      <protection locked="0"/>
    </xf>
    <xf numFmtId="1" fontId="1" fillId="2" borderId="39" xfId="0" applyNumberFormat="1" applyFont="1" applyFill="1" applyBorder="1" applyProtection="1">
      <protection locked="0"/>
    </xf>
    <xf numFmtId="1" fontId="1" fillId="2" borderId="42" xfId="0" applyNumberFormat="1" applyFont="1" applyFill="1" applyBorder="1" applyProtection="1">
      <protection locked="0"/>
    </xf>
    <xf numFmtId="0" fontId="1" fillId="0" borderId="0" xfId="0" applyFont="1" applyProtection="1">
      <protection locked="0"/>
    </xf>
    <xf numFmtId="164" fontId="0" fillId="0" borderId="0" xfId="1" applyNumberFormat="1" applyFont="1" applyAlignment="1" applyProtection="1">
      <alignment horizontal="center"/>
      <protection locked="0"/>
    </xf>
    <xf numFmtId="167" fontId="0" fillId="14" borderId="0" xfId="0" applyNumberFormat="1" applyFill="1" applyAlignment="1">
      <alignment horizontal="right"/>
    </xf>
    <xf numFmtId="0" fontId="35" fillId="0" borderId="67" xfId="0" applyFont="1" applyBorder="1" applyAlignment="1" applyProtection="1">
      <alignment horizontal="left"/>
      <protection locked="0"/>
    </xf>
    <xf numFmtId="0" fontId="0" fillId="0" borderId="3" xfId="0" applyBorder="1" applyAlignment="1" applyProtection="1">
      <alignment horizontal="left"/>
      <protection locked="0"/>
    </xf>
    <xf numFmtId="6" fontId="35" fillId="0" borderId="68" xfId="0" applyNumberFormat="1" applyFont="1" applyBorder="1" applyAlignment="1" applyProtection="1">
      <alignment horizontal="right"/>
      <protection locked="0"/>
    </xf>
    <xf numFmtId="1" fontId="1" fillId="4" borderId="75" xfId="0" applyNumberFormat="1" applyFont="1" applyFill="1" applyBorder="1" applyAlignment="1" applyProtection="1">
      <alignment vertical="center"/>
      <protection locked="0"/>
    </xf>
    <xf numFmtId="164" fontId="0" fillId="0" borderId="0" xfId="1" applyNumberFormat="1" applyFont="1" applyAlignment="1" applyProtection="1">
      <alignment vertical="center"/>
      <protection locked="0"/>
    </xf>
    <xf numFmtId="0" fontId="0" fillId="0" borderId="0" xfId="0" applyAlignment="1" applyProtection="1">
      <alignment vertical="center"/>
      <protection locked="0"/>
    </xf>
    <xf numFmtId="0" fontId="22" fillId="15" borderId="72" xfId="0" applyFont="1" applyFill="1" applyBorder="1" applyAlignment="1" applyProtection="1">
      <alignment horizontal="center" vertical="center" wrapText="1"/>
      <protection locked="0"/>
    </xf>
    <xf numFmtId="1" fontId="1" fillId="15" borderId="39" xfId="0" applyNumberFormat="1" applyFont="1" applyFill="1" applyBorder="1" applyProtection="1">
      <protection locked="0"/>
    </xf>
    <xf numFmtId="1" fontId="1" fillId="15" borderId="76" xfId="0" applyNumberFormat="1" applyFont="1" applyFill="1" applyBorder="1" applyProtection="1">
      <protection locked="0"/>
    </xf>
    <xf numFmtId="0" fontId="22" fillId="2" borderId="0" xfId="0" applyFont="1" applyFill="1" applyAlignment="1" applyProtection="1">
      <alignment horizontal="center" vertical="center" wrapText="1"/>
      <protection locked="0"/>
    </xf>
    <xf numFmtId="0" fontId="22" fillId="16" borderId="69" xfId="0" applyFont="1" applyFill="1" applyBorder="1" applyProtection="1">
      <protection locked="0"/>
    </xf>
    <xf numFmtId="1" fontId="1" fillId="16" borderId="77" xfId="0" applyNumberFormat="1" applyFont="1" applyFill="1" applyBorder="1" applyProtection="1">
      <protection locked="0"/>
    </xf>
    <xf numFmtId="1" fontId="1" fillId="16" borderId="78" xfId="0" applyNumberFormat="1" applyFont="1" applyFill="1" applyBorder="1" applyProtection="1">
      <protection locked="0"/>
    </xf>
    <xf numFmtId="0" fontId="22" fillId="4" borderId="72" xfId="0" applyFont="1" applyFill="1" applyBorder="1" applyAlignment="1" applyProtection="1">
      <alignment horizontal="center" vertical="center" wrapText="1"/>
      <protection locked="0"/>
    </xf>
    <xf numFmtId="1" fontId="1" fillId="4" borderId="39" xfId="0" applyNumberFormat="1" applyFont="1" applyFill="1" applyBorder="1" applyAlignment="1" applyProtection="1">
      <alignment vertical="center"/>
      <protection locked="0"/>
    </xf>
    <xf numFmtId="1" fontId="1" fillId="4" borderId="73" xfId="0" applyNumberFormat="1" applyFont="1" applyFill="1" applyBorder="1" applyAlignment="1" applyProtection="1">
      <alignment vertical="center"/>
      <protection locked="0"/>
    </xf>
    <xf numFmtId="1" fontId="1" fillId="16" borderId="79" xfId="0" applyNumberFormat="1" applyFont="1" applyFill="1" applyBorder="1" applyProtection="1">
      <protection locked="0"/>
    </xf>
    <xf numFmtId="0" fontId="22" fillId="4" borderId="69" xfId="0" applyFont="1" applyFill="1" applyBorder="1" applyAlignment="1" applyProtection="1">
      <alignment horizontal="center" wrapText="1"/>
      <protection locked="0"/>
    </xf>
    <xf numFmtId="1" fontId="1" fillId="4" borderId="77" xfId="0" applyNumberFormat="1" applyFont="1" applyFill="1" applyBorder="1" applyProtection="1">
      <protection locked="0"/>
    </xf>
    <xf numFmtId="1" fontId="1" fillId="4" borderId="78" xfId="0" applyNumberFormat="1" applyFont="1" applyFill="1" applyBorder="1" applyProtection="1">
      <protection locked="0"/>
    </xf>
    <xf numFmtId="0" fontId="22" fillId="6" borderId="72" xfId="0" applyFont="1" applyFill="1" applyBorder="1" applyAlignment="1" applyProtection="1">
      <alignment horizontal="center" wrapText="1"/>
      <protection locked="0"/>
    </xf>
    <xf numFmtId="1" fontId="1" fillId="6" borderId="80" xfId="0" applyNumberFormat="1" applyFont="1" applyFill="1" applyBorder="1" applyProtection="1">
      <protection locked="0"/>
    </xf>
    <xf numFmtId="1" fontId="1" fillId="6" borderId="81" xfId="0" applyNumberFormat="1" applyFont="1" applyFill="1" applyBorder="1" applyProtection="1">
      <protection locked="0"/>
    </xf>
    <xf numFmtId="0" fontId="3" fillId="0" borderId="40" xfId="0" applyFont="1" applyBorder="1" applyProtection="1">
      <protection locked="0"/>
    </xf>
    <xf numFmtId="0" fontId="0" fillId="0" borderId="82" xfId="0" applyBorder="1" applyAlignment="1">
      <alignment horizontal="left"/>
    </xf>
    <xf numFmtId="0" fontId="0" fillId="0" borderId="42" xfId="0" applyBorder="1" applyAlignment="1">
      <alignment horizontal="left"/>
    </xf>
    <xf numFmtId="9" fontId="0" fillId="0" borderId="0" xfId="0" applyNumberFormat="1" applyProtection="1">
      <protection locked="0"/>
    </xf>
    <xf numFmtId="173" fontId="19" fillId="0" borderId="0" xfId="0" applyNumberFormat="1" applyFont="1" applyProtection="1">
      <protection locked="0"/>
    </xf>
    <xf numFmtId="0" fontId="21" fillId="4" borderId="30" xfId="0" applyFont="1" applyFill="1" applyBorder="1" applyAlignment="1" applyProtection="1">
      <alignment horizontal="right"/>
      <protection locked="0"/>
    </xf>
    <xf numFmtId="173" fontId="19" fillId="4" borderId="0" xfId="0" applyNumberFormat="1" applyFont="1" applyFill="1" applyAlignment="1" applyProtection="1">
      <alignment vertical="top"/>
      <protection locked="0"/>
    </xf>
    <xf numFmtId="173" fontId="19" fillId="4" borderId="3" xfId="0" applyNumberFormat="1" applyFont="1" applyFill="1" applyBorder="1" applyAlignment="1" applyProtection="1">
      <alignment vertical="top"/>
      <protection locked="0"/>
    </xf>
    <xf numFmtId="173" fontId="19" fillId="4" borderId="83" xfId="0" applyNumberFormat="1" applyFont="1" applyFill="1" applyBorder="1" applyAlignment="1" applyProtection="1">
      <alignment vertical="top"/>
      <protection locked="0"/>
    </xf>
    <xf numFmtId="173" fontId="19" fillId="4" borderId="65" xfId="0" applyNumberFormat="1" applyFont="1" applyFill="1" applyBorder="1" applyAlignment="1" applyProtection="1">
      <alignment vertical="top"/>
      <protection locked="0"/>
    </xf>
    <xf numFmtId="173" fontId="1" fillId="2" borderId="0" xfId="0" applyNumberFormat="1" applyFont="1" applyFill="1" applyAlignment="1" applyProtection="1">
      <alignment horizontal="center" vertical="top"/>
      <protection locked="0"/>
    </xf>
    <xf numFmtId="0" fontId="4" fillId="2" borderId="0" xfId="0" applyFont="1" applyFill="1" applyProtection="1">
      <protection locked="0"/>
    </xf>
    <xf numFmtId="0" fontId="41" fillId="2" borderId="0" xfId="0" applyFont="1" applyFill="1" applyAlignment="1">
      <alignment wrapText="1"/>
    </xf>
    <xf numFmtId="0" fontId="40" fillId="4" borderId="69" xfId="0" applyFont="1" applyFill="1" applyBorder="1" applyAlignment="1">
      <alignment wrapText="1"/>
    </xf>
    <xf numFmtId="0" fontId="40" fillId="4" borderId="70" xfId="0" applyFont="1" applyFill="1" applyBorder="1" applyAlignment="1">
      <alignment wrapText="1"/>
    </xf>
    <xf numFmtId="164" fontId="40" fillId="4" borderId="70" xfId="1" applyNumberFormat="1" applyFont="1" applyFill="1" applyBorder="1" applyAlignment="1">
      <alignment wrapText="1"/>
    </xf>
    <xf numFmtId="0" fontId="42" fillId="0" borderId="70" xfId="0" applyFont="1" applyBorder="1"/>
    <xf numFmtId="0" fontId="40" fillId="4" borderId="84" xfId="0" applyFont="1" applyFill="1" applyBorder="1" applyAlignment="1">
      <alignment wrapText="1"/>
    </xf>
    <xf numFmtId="0" fontId="40" fillId="4" borderId="0" xfId="0" applyFont="1" applyFill="1" applyAlignment="1">
      <alignment wrapText="1"/>
    </xf>
    <xf numFmtId="0" fontId="40" fillId="4" borderId="85" xfId="0" applyFont="1" applyFill="1" applyBorder="1" applyAlignment="1">
      <alignment wrapText="1"/>
    </xf>
    <xf numFmtId="164" fontId="40" fillId="4" borderId="0" xfId="1" applyNumberFormat="1" applyFont="1" applyFill="1" applyBorder="1" applyAlignment="1">
      <alignment wrapText="1"/>
    </xf>
    <xf numFmtId="0" fontId="40" fillId="17" borderId="86" xfId="0" applyFont="1" applyFill="1" applyBorder="1" applyAlignment="1">
      <alignment wrapText="1"/>
    </xf>
    <xf numFmtId="0" fontId="40" fillId="2" borderId="57" xfId="0" applyFont="1" applyFill="1" applyBorder="1" applyAlignment="1">
      <alignment wrapText="1"/>
    </xf>
    <xf numFmtId="0" fontId="8" fillId="2" borderId="0" xfId="0" applyFont="1" applyFill="1" applyAlignment="1">
      <alignment wrapText="1"/>
    </xf>
    <xf numFmtId="2" fontId="8" fillId="2" borderId="0" xfId="0" applyNumberFormat="1" applyFont="1" applyFill="1" applyAlignment="1">
      <alignment wrapText="1"/>
    </xf>
    <xf numFmtId="0" fontId="42" fillId="2" borderId="0" xfId="0" applyFont="1" applyFill="1" applyAlignment="1">
      <alignment wrapText="1"/>
    </xf>
    <xf numFmtId="164" fontId="42" fillId="2" borderId="0" xfId="1" applyNumberFormat="1" applyFont="1" applyFill="1" applyAlignment="1">
      <alignment wrapText="1"/>
    </xf>
    <xf numFmtId="44" fontId="42" fillId="2" borderId="0" xfId="2" applyFont="1" applyFill="1" applyAlignment="1">
      <alignment wrapText="1"/>
    </xf>
    <xf numFmtId="0" fontId="42" fillId="0" borderId="0" xfId="0" applyFont="1"/>
    <xf numFmtId="0" fontId="38" fillId="0" borderId="0" xfId="0" applyFont="1"/>
    <xf numFmtId="3" fontId="42" fillId="0" borderId="0" xfId="0" applyNumberFormat="1" applyFont="1" applyAlignment="1">
      <alignment horizontal="center"/>
    </xf>
    <xf numFmtId="164" fontId="42" fillId="0" borderId="0" xfId="1" applyNumberFormat="1" applyFont="1"/>
    <xf numFmtId="44" fontId="42" fillId="0" borderId="0" xfId="2" applyFont="1"/>
    <xf numFmtId="0" fontId="41" fillId="2" borderId="0" xfId="0" applyFont="1" applyFill="1"/>
    <xf numFmtId="0" fontId="43" fillId="0" borderId="0" xfId="0" applyFont="1"/>
    <xf numFmtId="3" fontId="43" fillId="0" borderId="0" xfId="0" applyNumberFormat="1" applyFont="1" applyAlignment="1">
      <alignment horizontal="center"/>
    </xf>
    <xf numFmtId="164" fontId="43" fillId="0" borderId="0" xfId="1" applyNumberFormat="1" applyFont="1"/>
    <xf numFmtId="44" fontId="43" fillId="0" borderId="0" xfId="2" applyFont="1"/>
    <xf numFmtId="0" fontId="44" fillId="0" borderId="0" xfId="0" applyFont="1"/>
    <xf numFmtId="0" fontId="46" fillId="0" borderId="0" xfId="0" applyFont="1"/>
    <xf numFmtId="0" fontId="42" fillId="0" borderId="0" xfId="0" applyFont="1" applyAlignment="1">
      <alignment wrapText="1"/>
    </xf>
    <xf numFmtId="0" fontId="47" fillId="0" borderId="0" xfId="0" applyFont="1" applyAlignment="1">
      <alignment wrapText="1"/>
    </xf>
    <xf numFmtId="0" fontId="48" fillId="0" borderId="0" xfId="0" applyFont="1"/>
    <xf numFmtId="0" fontId="48" fillId="0" borderId="0" xfId="0" applyFont="1" applyAlignment="1">
      <alignment wrapText="1"/>
    </xf>
    <xf numFmtId="164" fontId="42" fillId="0" borderId="0" xfId="1" applyNumberFormat="1" applyFont="1" applyFill="1"/>
    <xf numFmtId="44" fontId="42" fillId="0" borderId="0" xfId="2" applyFont="1" applyFill="1"/>
    <xf numFmtId="44" fontId="42" fillId="0" borderId="0" xfId="0" applyNumberFormat="1" applyFont="1"/>
    <xf numFmtId="164" fontId="42" fillId="0" borderId="0" xfId="1" applyNumberFormat="1" applyFont="1" applyFill="1" applyAlignment="1">
      <alignment wrapText="1"/>
    </xf>
    <xf numFmtId="44" fontId="42" fillId="0" borderId="0" xfId="2" applyFont="1" applyFill="1" applyAlignment="1">
      <alignment wrapText="1"/>
    </xf>
    <xf numFmtId="1" fontId="40" fillId="0" borderId="0" xfId="0" applyNumberFormat="1" applyFont="1"/>
    <xf numFmtId="164" fontId="40" fillId="0" borderId="0" xfId="1" applyNumberFormat="1" applyFont="1" applyFill="1" applyBorder="1"/>
    <xf numFmtId="0" fontId="40" fillId="0" borderId="0" xfId="0" applyFont="1" applyAlignment="1">
      <alignment wrapText="1"/>
    </xf>
    <xf numFmtId="164" fontId="8" fillId="0" borderId="0" xfId="1" applyNumberFormat="1" applyFont="1" applyFill="1" applyBorder="1"/>
    <xf numFmtId="0" fontId="8" fillId="0" borderId="0" xfId="0" applyFont="1" applyAlignment="1">
      <alignment wrapText="1"/>
    </xf>
    <xf numFmtId="164" fontId="42" fillId="0" borderId="0" xfId="1" applyNumberFormat="1" applyFont="1" applyFill="1" applyBorder="1" applyAlignment="1">
      <alignment wrapText="1"/>
    </xf>
    <xf numFmtId="164" fontId="40" fillId="12" borderId="3" xfId="1" applyNumberFormat="1" applyFont="1" applyFill="1" applyBorder="1"/>
    <xf numFmtId="0" fontId="52" fillId="2" borderId="0" xfId="0" applyFont="1" applyFill="1" applyAlignment="1">
      <alignment wrapText="1"/>
    </xf>
    <xf numFmtId="0" fontId="53" fillId="2" borderId="0" xfId="0" applyFont="1" applyFill="1" applyAlignment="1">
      <alignment wrapText="1"/>
    </xf>
    <xf numFmtId="0" fontId="54" fillId="2" borderId="0" xfId="0" applyFont="1" applyFill="1" applyAlignment="1">
      <alignment wrapText="1"/>
    </xf>
    <xf numFmtId="0" fontId="1" fillId="11" borderId="55" xfId="0" applyFont="1" applyFill="1" applyBorder="1" applyAlignment="1">
      <alignment horizontal="center"/>
    </xf>
    <xf numFmtId="0" fontId="1" fillId="11" borderId="55" xfId="0" applyFont="1" applyFill="1" applyBorder="1"/>
    <xf numFmtId="14" fontId="0" fillId="11" borderId="55" xfId="0" applyNumberFormat="1" applyFill="1" applyBorder="1" applyAlignment="1">
      <alignment horizontal="center"/>
    </xf>
    <xf numFmtId="0" fontId="0" fillId="11" borderId="55" xfId="0" applyFill="1" applyBorder="1"/>
    <xf numFmtId="0" fontId="0" fillId="11" borderId="55" xfId="0" applyFill="1" applyBorder="1" applyAlignment="1">
      <alignment horizontal="center"/>
    </xf>
    <xf numFmtId="39" fontId="42" fillId="0" borderId="0" xfId="1" applyNumberFormat="1" applyFont="1" applyFill="1" applyBorder="1" applyAlignment="1">
      <alignment wrapText="1"/>
    </xf>
    <xf numFmtId="7" fontId="42" fillId="0" borderId="0" xfId="2" applyNumberFormat="1" applyFont="1" applyFill="1" applyBorder="1" applyAlignment="1">
      <alignment wrapText="1"/>
    </xf>
    <xf numFmtId="2" fontId="8" fillId="5" borderId="87" xfId="0" applyNumberFormat="1" applyFont="1" applyFill="1" applyBorder="1" applyProtection="1">
      <protection locked="0"/>
    </xf>
    <xf numFmtId="2" fontId="8" fillId="5" borderId="40" xfId="0" applyNumberFormat="1" applyFont="1" applyFill="1" applyBorder="1" applyProtection="1">
      <protection locked="0"/>
    </xf>
    <xf numFmtId="2" fontId="8" fillId="5" borderId="88" xfId="0" applyNumberFormat="1" applyFont="1" applyFill="1" applyBorder="1" applyProtection="1">
      <protection locked="0"/>
    </xf>
    <xf numFmtId="0" fontId="59" fillId="18" borderId="0" xfId="0" applyFont="1" applyFill="1"/>
    <xf numFmtId="0" fontId="0" fillId="18" borderId="0" xfId="0" applyFill="1"/>
    <xf numFmtId="14" fontId="0" fillId="18" borderId="0" xfId="0" applyNumberFormat="1" applyFill="1"/>
    <xf numFmtId="0" fontId="60" fillId="0" borderId="0" xfId="0" applyFont="1"/>
    <xf numFmtId="14" fontId="60" fillId="0" borderId="0" xfId="0" applyNumberFormat="1" applyFont="1"/>
    <xf numFmtId="14" fontId="0" fillId="0" borderId="0" xfId="0" applyNumberFormat="1"/>
    <xf numFmtId="0" fontId="3" fillId="0" borderId="0" xfId="0" applyFont="1" applyAlignment="1">
      <alignment wrapText="1"/>
    </xf>
    <xf numFmtId="164" fontId="3" fillId="0" borderId="0" xfId="1" applyNumberFormat="1" applyFont="1" applyFill="1" applyBorder="1" applyAlignment="1">
      <alignment wrapText="1"/>
    </xf>
    <xf numFmtId="164" fontId="3" fillId="0" borderId="0" xfId="2" applyNumberFormat="1" applyFont="1" applyFill="1" applyBorder="1" applyAlignment="1">
      <alignment wrapText="1"/>
    </xf>
    <xf numFmtId="0" fontId="49" fillId="2" borderId="0" xfId="4" applyFont="1" applyFill="1" applyAlignment="1">
      <alignment horizontal="center"/>
    </xf>
    <xf numFmtId="0" fontId="8" fillId="2" borderId="0" xfId="4" applyFont="1" applyFill="1" applyAlignment="1">
      <alignment horizontal="left"/>
    </xf>
    <xf numFmtId="14" fontId="8" fillId="2" borderId="0" xfId="4" applyNumberFormat="1" applyFont="1" applyFill="1" applyAlignment="1">
      <alignment horizontal="center"/>
    </xf>
    <xf numFmtId="0" fontId="43" fillId="2" borderId="0" xfId="0" applyFont="1" applyFill="1"/>
    <xf numFmtId="0" fontId="42" fillId="2" borderId="0" xfId="0" applyFont="1" applyFill="1"/>
    <xf numFmtId="0" fontId="8" fillId="2" borderId="0" xfId="4" quotePrefix="1" applyFont="1" applyFill="1" applyAlignment="1">
      <alignment horizontal="center"/>
    </xf>
    <xf numFmtId="0" fontId="8" fillId="2" borderId="0" xfId="4" applyFont="1" applyFill="1"/>
    <xf numFmtId="0" fontId="45" fillId="2" borderId="89" xfId="4" applyFont="1" applyFill="1" applyBorder="1" applyAlignment="1">
      <alignment horizontal="center"/>
    </xf>
    <xf numFmtId="14" fontId="45" fillId="2" borderId="90" xfId="4" applyNumberFormat="1" applyFont="1" applyFill="1" applyBorder="1" applyAlignment="1">
      <alignment horizontal="center"/>
    </xf>
    <xf numFmtId="14" fontId="45" fillId="2" borderId="91" xfId="4" applyNumberFormat="1" applyFont="1" applyFill="1" applyBorder="1" applyAlignment="1">
      <alignment horizontal="center"/>
    </xf>
    <xf numFmtId="0" fontId="46" fillId="2" borderId="0" xfId="0" applyFont="1" applyFill="1"/>
    <xf numFmtId="0" fontId="42" fillId="2" borderId="91" xfId="0" applyFont="1" applyFill="1" applyBorder="1"/>
    <xf numFmtId="0" fontId="45" fillId="2" borderId="0" xfId="4" applyFont="1" applyFill="1" applyAlignment="1">
      <alignment horizontal="center"/>
    </xf>
    <xf numFmtId="14" fontId="45" fillId="2" borderId="0" xfId="4" applyNumberFormat="1" applyFont="1" applyFill="1" applyAlignment="1">
      <alignment horizontal="center"/>
    </xf>
    <xf numFmtId="0" fontId="3" fillId="2" borderId="0" xfId="0" applyFont="1" applyFill="1" applyAlignment="1">
      <alignment wrapText="1"/>
    </xf>
    <xf numFmtId="0" fontId="50" fillId="2" borderId="0" xfId="0" applyFont="1" applyFill="1"/>
    <xf numFmtId="0" fontId="44" fillId="2" borderId="0" xfId="0" applyFont="1" applyFill="1"/>
    <xf numFmtId="4" fontId="41" fillId="2" borderId="0" xfId="0" applyNumberFormat="1" applyFont="1" applyFill="1"/>
    <xf numFmtId="43" fontId="3" fillId="2" borderId="0" xfId="0" applyNumberFormat="1" applyFont="1" applyFill="1" applyAlignment="1">
      <alignment wrapText="1"/>
    </xf>
    <xf numFmtId="4" fontId="42" fillId="2" borderId="0" xfId="0" applyNumberFormat="1" applyFont="1" applyFill="1"/>
    <xf numFmtId="0" fontId="40" fillId="19" borderId="92" xfId="0" applyFont="1" applyFill="1" applyBorder="1" applyAlignment="1">
      <alignment wrapText="1"/>
    </xf>
    <xf numFmtId="1" fontId="51" fillId="0" borderId="0" xfId="0" applyNumberFormat="1" applyFont="1"/>
    <xf numFmtId="164" fontId="51" fillId="0" borderId="0" xfId="1" applyNumberFormat="1" applyFont="1" applyFill="1" applyBorder="1"/>
    <xf numFmtId="0" fontId="51" fillId="0" borderId="0" xfId="0" applyFont="1" applyAlignment="1">
      <alignment wrapText="1"/>
    </xf>
    <xf numFmtId="20" fontId="0" fillId="11" borderId="55" xfId="0" applyNumberFormat="1" applyFill="1" applyBorder="1"/>
    <xf numFmtId="1" fontId="51" fillId="2" borderId="0" xfId="0" applyNumberFormat="1" applyFont="1" applyFill="1"/>
    <xf numFmtId="164" fontId="40" fillId="2" borderId="0" xfId="1" applyNumberFormat="1" applyFont="1" applyFill="1" applyBorder="1"/>
    <xf numFmtId="0" fontId="40" fillId="2" borderId="0" xfId="0" applyFont="1" applyFill="1" applyAlignment="1">
      <alignment wrapText="1"/>
    </xf>
    <xf numFmtId="0" fontId="52" fillId="2" borderId="39" xfId="0" applyFont="1" applyFill="1" applyBorder="1" applyAlignment="1">
      <alignment wrapText="1"/>
    </xf>
    <xf numFmtId="43" fontId="4" fillId="2" borderId="0" xfId="0" applyNumberFormat="1" applyFont="1" applyFill="1" applyAlignment="1">
      <alignment wrapText="1"/>
    </xf>
    <xf numFmtId="173" fontId="0" fillId="6" borderId="55" xfId="0" applyNumberFormat="1" applyFill="1" applyBorder="1" applyProtection="1">
      <protection locked="0"/>
    </xf>
    <xf numFmtId="1" fontId="0" fillId="6" borderId="55" xfId="0" applyNumberFormat="1" applyFill="1" applyBorder="1" applyProtection="1">
      <protection locked="0"/>
    </xf>
    <xf numFmtId="0" fontId="52" fillId="2" borderId="0" xfId="0" applyFont="1" applyFill="1" applyAlignment="1" applyProtection="1">
      <alignment wrapText="1"/>
      <protection locked="0"/>
    </xf>
    <xf numFmtId="0" fontId="51" fillId="13" borderId="57" xfId="0" applyFont="1" applyFill="1" applyBorder="1" applyAlignment="1">
      <alignment wrapText="1"/>
    </xf>
    <xf numFmtId="2" fontId="4" fillId="0" borderId="0" xfId="0" applyNumberFormat="1" applyFont="1"/>
    <xf numFmtId="2" fontId="40" fillId="19" borderId="57" xfId="1" applyNumberFormat="1" applyFont="1" applyFill="1" applyBorder="1"/>
    <xf numFmtId="16" fontId="0" fillId="11" borderId="55" xfId="0" applyNumberFormat="1" applyFill="1" applyBorder="1" applyAlignment="1">
      <alignment horizontal="center"/>
    </xf>
    <xf numFmtId="164" fontId="40" fillId="0" borderId="57" xfId="1" applyNumberFormat="1" applyFont="1" applyFill="1" applyBorder="1"/>
    <xf numFmtId="0" fontId="51" fillId="2" borderId="3" xfId="0" applyFont="1" applyFill="1" applyBorder="1" applyAlignment="1">
      <alignment wrapText="1"/>
    </xf>
    <xf numFmtId="2" fontId="42" fillId="0" borderId="0" xfId="0" applyNumberFormat="1" applyFont="1"/>
    <xf numFmtId="1" fontId="22" fillId="0" borderId="0" xfId="0" applyNumberFormat="1" applyFont="1" applyProtection="1">
      <protection locked="0"/>
    </xf>
    <xf numFmtId="43" fontId="0" fillId="0" borderId="0" xfId="1" applyFont="1" applyBorder="1"/>
    <xf numFmtId="170" fontId="31" fillId="0" borderId="0" xfId="0" applyNumberFormat="1" applyFont="1" applyAlignment="1">
      <alignment horizontal="center"/>
    </xf>
    <xf numFmtId="173" fontId="28" fillId="4" borderId="93" xfId="0" applyNumberFormat="1" applyFont="1" applyFill="1" applyBorder="1" applyAlignment="1">
      <alignment horizontal="center" vertical="top"/>
    </xf>
    <xf numFmtId="173" fontId="28" fillId="4" borderId="94" xfId="0" applyNumberFormat="1" applyFont="1" applyFill="1" applyBorder="1" applyAlignment="1">
      <alignment horizontal="center" vertical="top"/>
    </xf>
    <xf numFmtId="173" fontId="28" fillId="4" borderId="95" xfId="0" applyNumberFormat="1" applyFont="1" applyFill="1" applyBorder="1" applyAlignment="1">
      <alignment horizontal="center" vertical="top"/>
    </xf>
    <xf numFmtId="0" fontId="50" fillId="0" borderId="0" xfId="0" applyFont="1" applyProtection="1">
      <protection locked="0"/>
    </xf>
    <xf numFmtId="164" fontId="50" fillId="0" borderId="0" xfId="1" applyNumberFormat="1" applyFont="1" applyBorder="1" applyProtection="1">
      <protection locked="0"/>
    </xf>
    <xf numFmtId="166" fontId="62" fillId="4" borderId="89" xfId="0" applyNumberFormat="1" applyFont="1" applyFill="1" applyBorder="1" applyAlignment="1" applyProtection="1">
      <alignment horizontal="center"/>
      <protection locked="0"/>
    </xf>
    <xf numFmtId="173" fontId="28" fillId="4" borderId="0" xfId="0" applyNumberFormat="1" applyFont="1" applyFill="1" applyAlignment="1">
      <alignment vertical="top"/>
    </xf>
    <xf numFmtId="0" fontId="26" fillId="7" borderId="69" xfId="0" applyFont="1" applyFill="1" applyBorder="1" applyAlignment="1">
      <alignment vertical="top"/>
    </xf>
    <xf numFmtId="0" fontId="26" fillId="7" borderId="84" xfId="0" applyFont="1" applyFill="1" applyBorder="1" applyAlignment="1">
      <alignment vertical="top"/>
    </xf>
    <xf numFmtId="0" fontId="26" fillId="8" borderId="84" xfId="0" applyFont="1" applyFill="1" applyBorder="1" applyAlignment="1">
      <alignment vertical="top"/>
    </xf>
    <xf numFmtId="0" fontId="26" fillId="8" borderId="96" xfId="0" applyFont="1" applyFill="1" applyBorder="1" applyAlignment="1">
      <alignment vertical="top"/>
    </xf>
    <xf numFmtId="0" fontId="26" fillId="20" borderId="84" xfId="0" applyFont="1" applyFill="1" applyBorder="1" applyAlignment="1">
      <alignment vertical="top"/>
    </xf>
    <xf numFmtId="0" fontId="26" fillId="4" borderId="84" xfId="0" applyFont="1" applyFill="1" applyBorder="1" applyAlignment="1">
      <alignment vertical="top"/>
    </xf>
    <xf numFmtId="0" fontId="25" fillId="17" borderId="84" xfId="0" applyFont="1" applyFill="1" applyBorder="1" applyAlignment="1">
      <alignment vertical="top"/>
    </xf>
    <xf numFmtId="0" fontId="25" fillId="17" borderId="96" xfId="0" applyFont="1" applyFill="1" applyBorder="1" applyAlignment="1">
      <alignment vertical="top"/>
    </xf>
    <xf numFmtId="0" fontId="25" fillId="4" borderId="96" xfId="0" applyFont="1" applyFill="1" applyBorder="1" applyAlignment="1">
      <alignment vertical="top"/>
    </xf>
    <xf numFmtId="0" fontId="26" fillId="20" borderId="72" xfId="0" applyFont="1" applyFill="1" applyBorder="1" applyAlignment="1">
      <alignment vertical="top"/>
    </xf>
    <xf numFmtId="0" fontId="12" fillId="4" borderId="97" xfId="0" applyFont="1" applyFill="1" applyBorder="1" applyAlignment="1" applyProtection="1">
      <alignment horizontal="center" vertical="top"/>
      <protection locked="0"/>
    </xf>
    <xf numFmtId="0" fontId="12" fillId="4" borderId="42" xfId="0" applyFont="1" applyFill="1" applyBorder="1" applyAlignment="1" applyProtection="1">
      <alignment horizontal="center" vertical="top"/>
      <protection locked="0"/>
    </xf>
    <xf numFmtId="0" fontId="12" fillId="4" borderId="98" xfId="0" applyFont="1" applyFill="1" applyBorder="1" applyAlignment="1" applyProtection="1">
      <alignment horizontal="center" vertical="top"/>
      <protection locked="0"/>
    </xf>
    <xf numFmtId="1" fontId="28" fillId="6" borderId="99" xfId="0" applyNumberFormat="1" applyFont="1" applyFill="1" applyBorder="1" applyAlignment="1" applyProtection="1">
      <alignment horizontal="center" vertical="top"/>
      <protection locked="0"/>
    </xf>
    <xf numFmtId="1" fontId="28" fillId="6" borderId="100" xfId="0" applyNumberFormat="1" applyFont="1" applyFill="1" applyBorder="1" applyAlignment="1" applyProtection="1">
      <alignment horizontal="center" vertical="top"/>
      <protection locked="0"/>
    </xf>
    <xf numFmtId="0" fontId="55" fillId="4" borderId="101" xfId="0" applyFont="1" applyFill="1" applyBorder="1"/>
    <xf numFmtId="173" fontId="28" fillId="4" borderId="102" xfId="0" applyNumberFormat="1" applyFont="1" applyFill="1" applyBorder="1" applyAlignment="1">
      <alignment vertical="top"/>
    </xf>
    <xf numFmtId="173" fontId="28" fillId="4" borderId="103" xfId="0" applyNumberFormat="1" applyFont="1" applyFill="1" applyBorder="1" applyAlignment="1">
      <alignment vertical="top"/>
    </xf>
    <xf numFmtId="0" fontId="25" fillId="4" borderId="84" xfId="0" applyFont="1" applyFill="1" applyBorder="1"/>
    <xf numFmtId="173" fontId="28" fillId="4" borderId="104" xfId="0" applyNumberFormat="1" applyFont="1" applyFill="1" applyBorder="1" applyAlignment="1">
      <alignment vertical="top"/>
    </xf>
    <xf numFmtId="0" fontId="40" fillId="19" borderId="55" xfId="0" applyFont="1" applyFill="1" applyBorder="1" applyAlignment="1">
      <alignment wrapText="1"/>
    </xf>
    <xf numFmtId="0" fontId="51" fillId="17" borderId="3" xfId="0" applyFont="1" applyFill="1" applyBorder="1" applyAlignment="1">
      <alignment wrapText="1"/>
    </xf>
    <xf numFmtId="0" fontId="3" fillId="0" borderId="0" xfId="0" applyFont="1"/>
    <xf numFmtId="164" fontId="51" fillId="2" borderId="0" xfId="1" applyNumberFormat="1" applyFont="1" applyFill="1" applyBorder="1"/>
    <xf numFmtId="2" fontId="4" fillId="2" borderId="0" xfId="0" applyNumberFormat="1" applyFont="1" applyFill="1"/>
    <xf numFmtId="0" fontId="51" fillId="2" borderId="0" xfId="0" applyFont="1" applyFill="1" applyAlignment="1">
      <alignment wrapText="1"/>
    </xf>
    <xf numFmtId="0" fontId="63" fillId="2" borderId="0" xfId="0" applyFont="1" applyFill="1" applyAlignment="1">
      <alignment wrapText="1"/>
    </xf>
    <xf numFmtId="173" fontId="19" fillId="4" borderId="74" xfId="0" applyNumberFormat="1" applyFont="1" applyFill="1" applyBorder="1" applyAlignment="1">
      <alignment horizontal="center" vertical="top"/>
    </xf>
    <xf numFmtId="173" fontId="19" fillId="4" borderId="95" xfId="0" applyNumberFormat="1" applyFont="1" applyFill="1" applyBorder="1" applyAlignment="1">
      <alignment horizontal="center" vertical="top"/>
    </xf>
    <xf numFmtId="0" fontId="55" fillId="4" borderId="96" xfId="0" applyFont="1" applyFill="1" applyBorder="1" applyAlignment="1">
      <alignment vertical="top"/>
    </xf>
    <xf numFmtId="0" fontId="22" fillId="4" borderId="105" xfId="0" applyFont="1" applyFill="1" applyBorder="1" applyAlignment="1" applyProtection="1">
      <alignment horizontal="right"/>
      <protection locked="0"/>
    </xf>
    <xf numFmtId="2" fontId="51" fillId="12" borderId="57" xfId="0" applyNumberFormat="1" applyFont="1" applyFill="1" applyBorder="1" applyAlignment="1">
      <alignment wrapText="1"/>
    </xf>
    <xf numFmtId="0" fontId="51" fillId="12" borderId="82" xfId="0" applyFont="1" applyFill="1" applyBorder="1" applyAlignment="1">
      <alignment wrapText="1"/>
    </xf>
    <xf numFmtId="0" fontId="51" fillId="12" borderId="82" xfId="0" applyFont="1" applyFill="1" applyBorder="1" applyAlignment="1" applyProtection="1">
      <alignment wrapText="1"/>
      <protection locked="0"/>
    </xf>
    <xf numFmtId="0" fontId="51" fillId="2" borderId="106" xfId="0" applyFont="1" applyFill="1" applyBorder="1"/>
    <xf numFmtId="170" fontId="42" fillId="2" borderId="0" xfId="0" applyNumberFormat="1" applyFont="1" applyFill="1"/>
    <xf numFmtId="0" fontId="31" fillId="12" borderId="57" xfId="0" applyFont="1" applyFill="1" applyBorder="1" applyAlignment="1">
      <alignment wrapText="1"/>
    </xf>
    <xf numFmtId="0" fontId="57" fillId="21" borderId="107" xfId="3" applyFont="1" applyFill="1" applyBorder="1" applyAlignment="1" applyProtection="1">
      <alignment vertical="top"/>
      <protection locked="0"/>
    </xf>
    <xf numFmtId="22" fontId="57" fillId="21" borderId="0" xfId="0" applyNumberFormat="1" applyFont="1" applyFill="1" applyAlignment="1" applyProtection="1">
      <alignment vertical="top"/>
      <protection locked="0"/>
    </xf>
    <xf numFmtId="172" fontId="28" fillId="21" borderId="0" xfId="0" applyNumberFormat="1" applyFont="1" applyFill="1" applyAlignment="1" applyProtection="1">
      <alignment vertical="top"/>
      <protection locked="0"/>
    </xf>
    <xf numFmtId="0" fontId="55" fillId="4" borderId="108" xfId="0" applyFont="1" applyFill="1" applyBorder="1" applyAlignment="1" applyProtection="1">
      <alignment vertical="top"/>
      <protection locked="0"/>
    </xf>
    <xf numFmtId="173" fontId="19" fillId="4" borderId="109" xfId="0" applyNumberFormat="1" applyFont="1" applyFill="1" applyBorder="1" applyProtection="1">
      <protection locked="0"/>
    </xf>
    <xf numFmtId="0" fontId="23" fillId="4" borderId="69" xfId="0" applyFont="1" applyFill="1" applyBorder="1" applyAlignment="1" applyProtection="1">
      <alignment vertical="top"/>
      <protection locked="0"/>
    </xf>
    <xf numFmtId="0" fontId="28" fillId="4" borderId="70" xfId="0" applyFont="1" applyFill="1" applyBorder="1" applyAlignment="1" applyProtection="1">
      <alignment vertical="top"/>
      <protection locked="0"/>
    </xf>
    <xf numFmtId="172" fontId="28" fillId="4" borderId="70" xfId="0" applyNumberFormat="1" applyFont="1" applyFill="1" applyBorder="1" applyAlignment="1" applyProtection="1">
      <alignment vertical="top"/>
      <protection locked="0"/>
    </xf>
    <xf numFmtId="172" fontId="28" fillId="4" borderId="71" xfId="0" applyNumberFormat="1" applyFont="1" applyFill="1" applyBorder="1" applyAlignment="1" applyProtection="1">
      <alignment vertical="top"/>
      <protection locked="0"/>
    </xf>
    <xf numFmtId="0" fontId="26" fillId="6" borderId="84" xfId="0" applyFont="1" applyFill="1" applyBorder="1" applyAlignment="1" applyProtection="1">
      <alignment vertical="top"/>
      <protection locked="0"/>
    </xf>
    <xf numFmtId="173" fontId="28" fillId="6" borderId="93" xfId="0" applyNumberFormat="1" applyFont="1" applyFill="1" applyBorder="1" applyAlignment="1" applyProtection="1">
      <alignment horizontal="center" vertical="top"/>
      <protection locked="0"/>
    </xf>
    <xf numFmtId="0" fontId="26" fillId="6" borderId="110" xfId="0" applyFont="1" applyFill="1" applyBorder="1" applyAlignment="1" applyProtection="1">
      <alignment vertical="top"/>
      <protection locked="0"/>
    </xf>
    <xf numFmtId="173" fontId="28" fillId="6" borderId="111" xfId="0" applyNumberFormat="1" applyFont="1" applyFill="1" applyBorder="1" applyAlignment="1" applyProtection="1">
      <alignment horizontal="center" vertical="top"/>
      <protection locked="0"/>
    </xf>
    <xf numFmtId="0" fontId="55" fillId="4" borderId="112" xfId="0" applyFont="1" applyFill="1" applyBorder="1" applyAlignment="1" applyProtection="1">
      <alignment vertical="top"/>
      <protection locked="0"/>
    </xf>
    <xf numFmtId="173" fontId="27" fillId="4" borderId="113" xfId="1" applyNumberFormat="1" applyFont="1" applyFill="1" applyBorder="1" applyProtection="1">
      <protection locked="0"/>
    </xf>
    <xf numFmtId="0" fontId="31" fillId="4" borderId="57" xfId="0" applyFont="1" applyFill="1" applyBorder="1" applyAlignment="1">
      <alignment wrapText="1"/>
    </xf>
    <xf numFmtId="0" fontId="8" fillId="2" borderId="0" xfId="4" applyFont="1" applyFill="1" applyAlignment="1">
      <alignment horizontal="right"/>
    </xf>
    <xf numFmtId="14" fontId="65" fillId="2" borderId="0" xfId="4" applyNumberFormat="1" applyFont="1" applyFill="1" applyAlignment="1">
      <alignment horizontal="center"/>
    </xf>
    <xf numFmtId="44" fontId="0" fillId="0" borderId="0" xfId="2" applyFont="1" applyAlignment="1">
      <alignment horizontal="center"/>
    </xf>
    <xf numFmtId="2" fontId="40" fillId="19" borderId="55" xfId="1" applyNumberFormat="1" applyFont="1" applyFill="1" applyBorder="1"/>
    <xf numFmtId="170" fontId="0" fillId="0" borderId="0" xfId="2" applyNumberFormat="1" applyFont="1" applyAlignment="1">
      <alignment horizontal="center"/>
    </xf>
    <xf numFmtId="170" fontId="45" fillId="2" borderId="91" xfId="4" applyNumberFormat="1" applyFont="1" applyFill="1" applyBorder="1" applyAlignment="1">
      <alignment horizontal="center"/>
    </xf>
    <xf numFmtId="170" fontId="3" fillId="2" borderId="0" xfId="0" applyNumberFormat="1" applyFont="1" applyFill="1" applyAlignment="1">
      <alignment horizontal="center"/>
    </xf>
    <xf numFmtId="170" fontId="44" fillId="2" borderId="0" xfId="0" applyNumberFormat="1" applyFont="1" applyFill="1" applyAlignment="1">
      <alignment horizontal="center"/>
    </xf>
    <xf numFmtId="170" fontId="42" fillId="2" borderId="0" xfId="0" applyNumberFormat="1" applyFont="1" applyFill="1" applyAlignment="1">
      <alignment horizontal="center"/>
    </xf>
    <xf numFmtId="170" fontId="46" fillId="2" borderId="0" xfId="0" applyNumberFormat="1" applyFont="1" applyFill="1" applyAlignment="1">
      <alignment horizontal="center"/>
    </xf>
    <xf numFmtId="170" fontId="4" fillId="2" borderId="0" xfId="0" applyNumberFormat="1" applyFont="1" applyFill="1" applyAlignment="1">
      <alignment horizontal="center"/>
    </xf>
    <xf numFmtId="1" fontId="51" fillId="12" borderId="114" xfId="0" applyNumberFormat="1" applyFont="1" applyFill="1" applyBorder="1"/>
    <xf numFmtId="1" fontId="51" fillId="19" borderId="115" xfId="0" applyNumberFormat="1" applyFont="1" applyFill="1" applyBorder="1"/>
    <xf numFmtId="1" fontId="51" fillId="19" borderId="55" xfId="0" applyNumberFormat="1" applyFont="1" applyFill="1" applyBorder="1"/>
    <xf numFmtId="173" fontId="37" fillId="4" borderId="42" xfId="0" applyNumberFormat="1" applyFont="1" applyFill="1" applyBorder="1" applyAlignment="1">
      <alignment horizontal="center" vertical="top"/>
    </xf>
    <xf numFmtId="173" fontId="37" fillId="4" borderId="94" xfId="0" applyNumberFormat="1" applyFont="1" applyFill="1" applyBorder="1" applyAlignment="1">
      <alignment horizontal="center" vertical="top"/>
    </xf>
    <xf numFmtId="172" fontId="37" fillId="21" borderId="0" xfId="0" applyNumberFormat="1" applyFont="1" applyFill="1" applyAlignment="1" applyProtection="1">
      <alignment vertical="top"/>
      <protection locked="0"/>
    </xf>
    <xf numFmtId="172" fontId="37" fillId="4" borderId="70" xfId="0" applyNumberFormat="1" applyFont="1" applyFill="1" applyBorder="1" applyAlignment="1" applyProtection="1">
      <alignment vertical="top"/>
      <protection locked="0"/>
    </xf>
    <xf numFmtId="173" fontId="19" fillId="6" borderId="40" xfId="0" applyNumberFormat="1" applyFont="1" applyFill="1" applyBorder="1" applyAlignment="1" applyProtection="1">
      <alignment horizontal="center" vertical="top"/>
      <protection locked="0"/>
    </xf>
    <xf numFmtId="173" fontId="19" fillId="6" borderId="41" xfId="0" applyNumberFormat="1" applyFont="1" applyFill="1" applyBorder="1" applyAlignment="1" applyProtection="1">
      <alignment horizontal="center" vertical="top"/>
      <protection locked="0"/>
    </xf>
    <xf numFmtId="0" fontId="0" fillId="4" borderId="70" xfId="0" applyFill="1" applyBorder="1" applyAlignment="1" applyProtection="1">
      <alignment horizontal="centerContinuous"/>
      <protection locked="0"/>
    </xf>
    <xf numFmtId="0" fontId="0" fillId="4" borderId="71" xfId="0" applyFill="1" applyBorder="1" applyAlignment="1" applyProtection="1">
      <alignment horizontal="centerContinuous"/>
      <protection locked="0"/>
    </xf>
    <xf numFmtId="0" fontId="12" fillId="4" borderId="93" xfId="0" applyFont="1" applyFill="1" applyBorder="1" applyAlignment="1" applyProtection="1">
      <alignment horizontal="center" vertical="top"/>
      <protection locked="0"/>
    </xf>
    <xf numFmtId="0" fontId="22" fillId="6" borderId="116" xfId="0" applyFont="1" applyFill="1" applyBorder="1" applyProtection="1">
      <protection locked="0"/>
    </xf>
    <xf numFmtId="0" fontId="23" fillId="17" borderId="84" xfId="0" applyFont="1" applyFill="1" applyBorder="1"/>
    <xf numFmtId="0" fontId="26" fillId="8" borderId="117" xfId="0" applyFont="1" applyFill="1" applyBorder="1" applyAlignment="1">
      <alignment vertical="top"/>
    </xf>
    <xf numFmtId="0" fontId="26" fillId="8" borderId="118" xfId="0" applyFont="1" applyFill="1" applyBorder="1" applyAlignment="1">
      <alignment vertical="top"/>
    </xf>
    <xf numFmtId="0" fontId="26" fillId="8" borderId="119" xfId="0" applyFont="1" applyFill="1" applyBorder="1" applyAlignment="1">
      <alignment vertical="top"/>
    </xf>
    <xf numFmtId="0" fontId="26" fillId="20" borderId="117" xfId="0" applyFont="1" applyFill="1" applyBorder="1" applyAlignment="1">
      <alignment vertical="top"/>
    </xf>
    <xf numFmtId="0" fontId="26" fillId="20" borderId="119" xfId="0" applyFont="1" applyFill="1" applyBorder="1" applyAlignment="1">
      <alignment vertical="top"/>
    </xf>
    <xf numFmtId="0" fontId="26" fillId="4" borderId="117" xfId="0" applyFont="1" applyFill="1" applyBorder="1" applyAlignment="1">
      <alignment vertical="top"/>
    </xf>
    <xf numFmtId="0" fontId="26" fillId="4" borderId="118" xfId="0" applyFont="1" applyFill="1" applyBorder="1" applyAlignment="1">
      <alignment vertical="top"/>
    </xf>
    <xf numFmtId="0" fontId="64" fillId="4" borderId="120" xfId="0" applyFont="1" applyFill="1" applyBorder="1" applyAlignment="1">
      <alignment vertical="top"/>
    </xf>
    <xf numFmtId="0" fontId="63" fillId="2" borderId="57" xfId="0" applyFont="1" applyFill="1" applyBorder="1" applyAlignment="1">
      <alignment wrapText="1"/>
    </xf>
    <xf numFmtId="0" fontId="26" fillId="7" borderId="118" xfId="0" applyFont="1" applyFill="1" applyBorder="1" applyAlignment="1">
      <alignment vertical="top"/>
    </xf>
    <xf numFmtId="0" fontId="31" fillId="17" borderId="3" xfId="0" applyFont="1" applyFill="1" applyBorder="1" applyAlignment="1">
      <alignment wrapText="1"/>
    </xf>
    <xf numFmtId="0" fontId="63" fillId="17" borderId="3" xfId="0" applyFont="1" applyFill="1" applyBorder="1" applyAlignment="1">
      <alignment wrapText="1"/>
    </xf>
    <xf numFmtId="0" fontId="51" fillId="4" borderId="85" xfId="0" applyFont="1" applyFill="1" applyBorder="1" applyAlignment="1">
      <alignment wrapText="1"/>
    </xf>
    <xf numFmtId="166" fontId="62" fillId="4" borderId="105" xfId="0" applyNumberFormat="1" applyFont="1" applyFill="1" applyBorder="1" applyAlignment="1" applyProtection="1">
      <alignment horizontal="center"/>
      <protection locked="0"/>
    </xf>
    <xf numFmtId="172" fontId="28" fillId="21" borderId="104" xfId="0" applyNumberFormat="1" applyFont="1" applyFill="1" applyBorder="1" applyAlignment="1" applyProtection="1">
      <alignment vertical="top"/>
      <protection locked="0"/>
    </xf>
    <xf numFmtId="0" fontId="51" fillId="2" borderId="57" xfId="0" applyFont="1" applyFill="1" applyBorder="1" applyAlignment="1">
      <alignment wrapText="1"/>
    </xf>
    <xf numFmtId="0" fontId="40" fillId="4" borderId="121" xfId="0" applyFont="1" applyFill="1" applyBorder="1" applyAlignment="1">
      <alignment wrapText="1"/>
    </xf>
    <xf numFmtId="0" fontId="40" fillId="4" borderId="43" xfId="0" applyFont="1" applyFill="1" applyBorder="1" applyAlignment="1">
      <alignment wrapText="1"/>
    </xf>
    <xf numFmtId="0" fontId="40" fillId="12" borderId="68" xfId="0" applyFont="1" applyFill="1" applyBorder="1" applyAlignment="1">
      <alignment wrapText="1"/>
    </xf>
    <xf numFmtId="0" fontId="51" fillId="17" borderId="106" xfId="0" applyFont="1" applyFill="1" applyBorder="1" applyAlignment="1">
      <alignment wrapText="1"/>
    </xf>
    <xf numFmtId="0" fontId="51" fillId="17" borderId="3" xfId="0" applyFont="1" applyFill="1" applyBorder="1"/>
    <xf numFmtId="0" fontId="51" fillId="2" borderId="122" xfId="0" applyFont="1" applyFill="1" applyBorder="1"/>
    <xf numFmtId="0" fontId="51" fillId="13" borderId="57" xfId="0" applyFont="1" applyFill="1" applyBorder="1"/>
    <xf numFmtId="0" fontId="51" fillId="4" borderId="57" xfId="0" applyFont="1" applyFill="1" applyBorder="1"/>
    <xf numFmtId="0" fontId="26" fillId="8" borderId="69" xfId="0" applyFont="1" applyFill="1" applyBorder="1" applyAlignment="1">
      <alignment vertical="top"/>
    </xf>
    <xf numFmtId="0" fontId="26" fillId="7" borderId="72" xfId="0" applyFont="1" applyFill="1" applyBorder="1" applyAlignment="1">
      <alignment vertical="top"/>
    </xf>
    <xf numFmtId="180" fontId="58" fillId="4" borderId="69" xfId="0" applyNumberFormat="1" applyFont="1" applyFill="1" applyBorder="1" applyAlignment="1" applyProtection="1">
      <alignment horizontal="centerContinuous"/>
      <protection locked="0"/>
    </xf>
    <xf numFmtId="166" fontId="49" fillId="4" borderId="89" xfId="0" applyNumberFormat="1" applyFont="1" applyFill="1" applyBorder="1" applyAlignment="1" applyProtection="1">
      <alignment horizontal="center"/>
      <protection locked="0"/>
    </xf>
    <xf numFmtId="0" fontId="51" fillId="12" borderId="57" xfId="0" applyFont="1" applyFill="1" applyBorder="1"/>
    <xf numFmtId="0" fontId="51" fillId="12" borderId="57" xfId="0" applyFont="1" applyFill="1" applyBorder="1" applyAlignment="1">
      <alignment wrapText="1"/>
    </xf>
    <xf numFmtId="0" fontId="51" fillId="12" borderId="122" xfId="0" applyFont="1" applyFill="1" applyBorder="1"/>
    <xf numFmtId="1" fontId="51" fillId="12" borderId="0" xfId="0" applyNumberFormat="1" applyFont="1" applyFill="1"/>
    <xf numFmtId="164" fontId="51" fillId="12" borderId="0" xfId="1" applyNumberFormat="1" applyFont="1" applyFill="1" applyBorder="1"/>
    <xf numFmtId="43" fontId="4" fillId="12" borderId="0" xfId="0" applyNumberFormat="1" applyFont="1" applyFill="1" applyAlignment="1">
      <alignment wrapText="1"/>
    </xf>
    <xf numFmtId="0" fontId="51" fillId="13" borderId="3" xfId="0" applyFont="1" applyFill="1" applyBorder="1"/>
    <xf numFmtId="0" fontId="31" fillId="13" borderId="3" xfId="0" applyFont="1" applyFill="1" applyBorder="1" applyAlignment="1">
      <alignment wrapText="1"/>
    </xf>
    <xf numFmtId="0" fontId="31" fillId="13" borderId="57" xfId="0" applyFont="1" applyFill="1" applyBorder="1" applyAlignment="1">
      <alignment wrapText="1"/>
    </xf>
    <xf numFmtId="1" fontId="40" fillId="19" borderId="55" xfId="0" applyNumberFormat="1" applyFont="1" applyFill="1" applyBorder="1"/>
    <xf numFmtId="1" fontId="51" fillId="19" borderId="114" xfId="0" applyNumberFormat="1" applyFont="1" applyFill="1" applyBorder="1"/>
    <xf numFmtId="173" fontId="68" fillId="17" borderId="40" xfId="0" applyNumberFormat="1" applyFont="1" applyFill="1" applyBorder="1" applyAlignment="1">
      <alignment horizontal="center" vertical="top"/>
    </xf>
    <xf numFmtId="1" fontId="51" fillId="19" borderId="3" xfId="0" applyNumberFormat="1" applyFont="1" applyFill="1" applyBorder="1"/>
    <xf numFmtId="0" fontId="31" fillId="17" borderId="3" xfId="0" applyFont="1" applyFill="1" applyBorder="1"/>
    <xf numFmtId="0" fontId="51" fillId="4" borderId="70" xfId="0" applyFont="1" applyFill="1" applyBorder="1" applyAlignment="1">
      <alignment wrapText="1"/>
    </xf>
    <xf numFmtId="0" fontId="4" fillId="2" borderId="0" xfId="0" applyFont="1" applyFill="1" applyAlignment="1">
      <alignment wrapText="1"/>
    </xf>
    <xf numFmtId="0" fontId="4" fillId="0" borderId="0" xfId="0" applyFont="1"/>
    <xf numFmtId="0" fontId="52" fillId="2" borderId="0" xfId="0" applyFont="1" applyFill="1"/>
    <xf numFmtId="0" fontId="51" fillId="4" borderId="70" xfId="0" applyFont="1" applyFill="1" applyBorder="1" applyAlignment="1" applyProtection="1">
      <alignment wrapText="1"/>
      <protection locked="0"/>
    </xf>
    <xf numFmtId="0" fontId="51" fillId="4" borderId="85" xfId="0" applyFont="1" applyFill="1" applyBorder="1" applyAlignment="1" applyProtection="1">
      <alignment wrapText="1"/>
      <protection locked="0"/>
    </xf>
    <xf numFmtId="0" fontId="4" fillId="2" borderId="0" xfId="0" applyFont="1" applyFill="1" applyAlignment="1" applyProtection="1">
      <alignment wrapText="1"/>
      <protection locked="0"/>
    </xf>
    <xf numFmtId="0" fontId="5" fillId="0" borderId="0" xfId="0" applyFont="1"/>
    <xf numFmtId="0" fontId="4" fillId="0" borderId="0" xfId="0" applyFont="1" applyProtection="1">
      <protection locked="0"/>
    </xf>
    <xf numFmtId="0" fontId="4" fillId="0" borderId="0" xfId="0" applyFont="1" applyAlignment="1" applyProtection="1">
      <alignment wrapText="1"/>
      <protection locked="0"/>
    </xf>
    <xf numFmtId="0" fontId="69" fillId="0" borderId="0" xfId="0" applyFont="1" applyAlignment="1">
      <alignment wrapText="1"/>
    </xf>
    <xf numFmtId="0" fontId="69" fillId="0" borderId="0" xfId="0" applyFont="1" applyAlignment="1" applyProtection="1">
      <alignment wrapText="1"/>
      <protection locked="0"/>
    </xf>
    <xf numFmtId="0" fontId="4" fillId="12" borderId="0" xfId="0" applyFont="1" applyFill="1"/>
    <xf numFmtId="0" fontId="4" fillId="12" borderId="0" xfId="0" applyFont="1" applyFill="1" applyProtection="1">
      <protection locked="0"/>
    </xf>
    <xf numFmtId="0" fontId="4" fillId="0" borderId="0" xfId="0" applyFont="1" applyAlignment="1">
      <alignment wrapText="1"/>
    </xf>
    <xf numFmtId="43" fontId="4" fillId="0" borderId="0" xfId="0" applyNumberFormat="1" applyFont="1"/>
    <xf numFmtId="0" fontId="31" fillId="2" borderId="55" xfId="0" applyFont="1" applyFill="1" applyBorder="1" applyAlignment="1">
      <alignment wrapText="1"/>
    </xf>
    <xf numFmtId="14" fontId="70" fillId="2" borderId="0" xfId="4" applyNumberFormat="1" applyFont="1" applyFill="1" applyAlignment="1">
      <alignment horizontal="left"/>
    </xf>
    <xf numFmtId="0" fontId="4" fillId="2" borderId="105" xfId="0" applyFont="1" applyFill="1" applyBorder="1"/>
    <xf numFmtId="7" fontId="4" fillId="2" borderId="0" xfId="0" applyNumberFormat="1" applyFont="1" applyFill="1"/>
    <xf numFmtId="14" fontId="70" fillId="2" borderId="39" xfId="4" applyNumberFormat="1" applyFont="1" applyFill="1" applyBorder="1" applyAlignment="1">
      <alignment horizontal="left"/>
    </xf>
    <xf numFmtId="0" fontId="4" fillId="2" borderId="90" xfId="0" applyFont="1" applyFill="1" applyBorder="1"/>
    <xf numFmtId="0" fontId="63" fillId="12" borderId="57" xfId="0" applyFont="1" applyFill="1" applyBorder="1" applyAlignment="1">
      <alignment wrapText="1"/>
    </xf>
    <xf numFmtId="16" fontId="0" fillId="4" borderId="70" xfId="0" applyNumberFormat="1" applyFill="1" applyBorder="1" applyAlignment="1" applyProtection="1">
      <alignment horizontal="centerContinuous"/>
      <protection locked="0"/>
    </xf>
    <xf numFmtId="0" fontId="4" fillId="17" borderId="55" xfId="0" applyFont="1" applyFill="1" applyBorder="1" applyAlignment="1">
      <alignment wrapText="1"/>
    </xf>
    <xf numFmtId="0" fontId="4" fillId="2" borderId="57" xfId="0" applyFont="1" applyFill="1" applyBorder="1" applyAlignment="1">
      <alignment wrapText="1"/>
    </xf>
    <xf numFmtId="0" fontId="4" fillId="13" borderId="55" xfId="0" applyFont="1" applyFill="1" applyBorder="1" applyAlignment="1" applyProtection="1">
      <alignment wrapText="1"/>
      <protection locked="0"/>
    </xf>
    <xf numFmtId="0" fontId="4" fillId="13" borderId="55" xfId="0" applyFont="1" applyFill="1" applyBorder="1" applyAlignment="1">
      <alignment wrapText="1"/>
    </xf>
    <xf numFmtId="0" fontId="4" fillId="13" borderId="0" xfId="0" applyFont="1" applyFill="1" applyAlignment="1">
      <alignment wrapText="1"/>
    </xf>
    <xf numFmtId="0" fontId="4" fillId="13" borderId="58" xfId="0" applyFont="1" applyFill="1" applyBorder="1" applyAlignment="1">
      <alignment wrapText="1"/>
    </xf>
    <xf numFmtId="173" fontId="19" fillId="20" borderId="40" xfId="0" applyNumberFormat="1" applyFont="1" applyFill="1" applyBorder="1" applyAlignment="1">
      <alignment horizontal="center" vertical="top"/>
    </xf>
    <xf numFmtId="173" fontId="19" fillId="8" borderId="43" xfId="0" applyNumberFormat="1" applyFont="1" applyFill="1" applyBorder="1" applyAlignment="1">
      <alignment horizontal="center" vertical="top"/>
    </xf>
    <xf numFmtId="173" fontId="19" fillId="8" borderId="104" xfId="0" applyNumberFormat="1" applyFont="1" applyFill="1" applyBorder="1" applyAlignment="1">
      <alignment horizontal="center" vertical="top"/>
    </xf>
    <xf numFmtId="173" fontId="19" fillId="8" borderId="59" xfId="0" applyNumberFormat="1" applyFont="1" applyFill="1" applyBorder="1" applyAlignment="1">
      <alignment horizontal="center" vertical="top"/>
    </xf>
    <xf numFmtId="173" fontId="19" fillId="8" borderId="123" xfId="0" applyNumberFormat="1" applyFont="1" applyFill="1" applyBorder="1" applyAlignment="1">
      <alignment horizontal="center" vertical="top"/>
    </xf>
    <xf numFmtId="173" fontId="19" fillId="20" borderId="42" xfId="0" applyNumberFormat="1" applyFont="1" applyFill="1" applyBorder="1" applyAlignment="1">
      <alignment horizontal="center" vertical="top"/>
    </xf>
    <xf numFmtId="173" fontId="19" fillId="20" borderId="93" xfId="0" applyNumberFormat="1" applyFont="1" applyFill="1" applyBorder="1" applyAlignment="1">
      <alignment horizontal="center" vertical="top"/>
    </xf>
    <xf numFmtId="173" fontId="19" fillId="20" borderId="124" xfId="0" applyNumberFormat="1" applyFont="1" applyFill="1" applyBorder="1" applyAlignment="1">
      <alignment horizontal="center" vertical="top"/>
    </xf>
    <xf numFmtId="173" fontId="19" fillId="20" borderId="125" xfId="0" applyNumberFormat="1" applyFont="1" applyFill="1" applyBorder="1" applyAlignment="1">
      <alignment horizontal="center" vertical="top"/>
    </xf>
    <xf numFmtId="173" fontId="19" fillId="4" borderId="40" xfId="0" applyNumberFormat="1" applyFont="1" applyFill="1" applyBorder="1" applyAlignment="1">
      <alignment horizontal="center" vertical="top"/>
    </xf>
    <xf numFmtId="173" fontId="19" fillId="4" borderId="43" xfId="0" applyNumberFormat="1" applyFont="1" applyFill="1" applyBorder="1" applyAlignment="1">
      <alignment horizontal="center" vertical="top"/>
    </xf>
    <xf numFmtId="173" fontId="19" fillId="4" borderId="42" xfId="0" applyNumberFormat="1" applyFont="1" applyFill="1" applyBorder="1" applyAlignment="1">
      <alignment horizontal="center" vertical="top"/>
    </xf>
    <xf numFmtId="173" fontId="19" fillId="4" borderId="104" xfId="0" applyNumberFormat="1" applyFont="1" applyFill="1" applyBorder="1" applyAlignment="1">
      <alignment horizontal="center" vertical="top"/>
    </xf>
    <xf numFmtId="173" fontId="19" fillId="4" borderId="126" xfId="0" applyNumberFormat="1" applyFont="1" applyFill="1" applyBorder="1" applyAlignment="1">
      <alignment vertical="top"/>
    </xf>
    <xf numFmtId="173" fontId="19" fillId="4" borderId="127" xfId="0" applyNumberFormat="1" applyFont="1" applyFill="1" applyBorder="1" applyAlignment="1">
      <alignment vertical="top"/>
    </xf>
    <xf numFmtId="173" fontId="19" fillId="4" borderId="128" xfId="0" applyNumberFormat="1" applyFont="1" applyFill="1" applyBorder="1" applyAlignment="1">
      <alignment vertical="top"/>
    </xf>
    <xf numFmtId="173" fontId="19" fillId="17" borderId="42" xfId="0" applyNumberFormat="1" applyFont="1" applyFill="1" applyBorder="1" applyAlignment="1">
      <alignment horizontal="center" vertical="top"/>
    </xf>
    <xf numFmtId="173" fontId="19" fillId="17" borderId="93" xfId="0" applyNumberFormat="1" applyFont="1" applyFill="1" applyBorder="1" applyAlignment="1">
      <alignment horizontal="center" vertical="top"/>
    </xf>
    <xf numFmtId="173" fontId="19" fillId="17" borderId="124" xfId="0" applyNumberFormat="1" applyFont="1" applyFill="1" applyBorder="1" applyAlignment="1">
      <alignment horizontal="center" vertical="top"/>
    </xf>
    <xf numFmtId="173" fontId="19" fillId="17" borderId="125" xfId="0" applyNumberFormat="1" applyFont="1" applyFill="1" applyBorder="1" applyAlignment="1">
      <alignment horizontal="center" vertical="top"/>
    </xf>
    <xf numFmtId="173" fontId="19" fillId="4" borderId="55" xfId="0" applyNumberFormat="1" applyFont="1" applyFill="1" applyBorder="1" applyAlignment="1">
      <alignment horizontal="center" vertical="top"/>
    </xf>
    <xf numFmtId="173" fontId="19" fillId="4" borderId="3" xfId="0" applyNumberFormat="1" applyFont="1" applyFill="1" applyBorder="1" applyAlignment="1">
      <alignment horizontal="center" vertical="top"/>
    </xf>
    <xf numFmtId="173" fontId="19" fillId="4" borderId="92" xfId="0" applyNumberFormat="1" applyFont="1" applyFill="1" applyBorder="1" applyAlignment="1">
      <alignment horizontal="center" vertical="top"/>
    </xf>
    <xf numFmtId="173" fontId="19" fillId="7" borderId="82" xfId="0" applyNumberFormat="1" applyFont="1" applyFill="1" applyBorder="1" applyAlignment="1">
      <alignment horizontal="center" vertical="top"/>
    </xf>
    <xf numFmtId="173" fontId="19" fillId="7" borderId="42" xfId="0" applyNumberFormat="1" applyFont="1" applyFill="1" applyBorder="1" applyAlignment="1">
      <alignment horizontal="center" vertical="top"/>
    </xf>
    <xf numFmtId="173" fontId="19" fillId="7" borderId="43" xfId="0" applyNumberFormat="1" applyFont="1" applyFill="1" applyBorder="1" applyAlignment="1">
      <alignment horizontal="center" vertical="top"/>
    </xf>
    <xf numFmtId="173" fontId="19" fillId="7" borderId="104" xfId="0" applyNumberFormat="1" applyFont="1" applyFill="1" applyBorder="1" applyAlignment="1">
      <alignment horizontal="center" vertical="top"/>
    </xf>
    <xf numFmtId="173" fontId="19" fillId="7" borderId="94" xfId="0" applyNumberFormat="1" applyFont="1" applyFill="1" applyBorder="1" applyAlignment="1">
      <alignment horizontal="center" vertical="top"/>
    </xf>
    <xf numFmtId="173" fontId="19" fillId="7" borderId="129" xfId="0" applyNumberFormat="1" applyFont="1" applyFill="1" applyBorder="1" applyAlignment="1">
      <alignment horizontal="center" vertical="top"/>
    </xf>
    <xf numFmtId="173" fontId="19" fillId="7" borderId="95" xfId="0" applyNumberFormat="1" applyFont="1" applyFill="1" applyBorder="1" applyAlignment="1">
      <alignment horizontal="center" vertical="top"/>
    </xf>
    <xf numFmtId="173" fontId="19" fillId="8" borderId="130" xfId="0" applyNumberFormat="1" applyFont="1" applyFill="1" applyBorder="1" applyAlignment="1">
      <alignment horizontal="center" vertical="top"/>
    </xf>
    <xf numFmtId="173" fontId="19" fillId="8" borderId="121" xfId="0" applyNumberFormat="1" applyFont="1" applyFill="1" applyBorder="1" applyAlignment="1">
      <alignment horizontal="center" vertical="top"/>
    </xf>
    <xf numFmtId="173" fontId="19" fillId="8" borderId="78" xfId="0" applyNumberFormat="1" applyFont="1" applyFill="1" applyBorder="1" applyAlignment="1">
      <alignment horizontal="center" vertical="top"/>
    </xf>
    <xf numFmtId="173" fontId="19" fillId="8" borderId="42" xfId="0" applyNumberFormat="1" applyFont="1" applyFill="1" applyBorder="1" applyAlignment="1">
      <alignment horizontal="center" vertical="top"/>
    </xf>
    <xf numFmtId="173" fontId="19" fillId="15" borderId="42" xfId="0" applyNumberFormat="1" applyFont="1" applyFill="1" applyBorder="1" applyAlignment="1">
      <alignment horizontal="center" vertical="top"/>
    </xf>
    <xf numFmtId="173" fontId="19" fillId="8" borderId="124" xfId="0" applyNumberFormat="1" applyFont="1" applyFill="1" applyBorder="1" applyAlignment="1">
      <alignment horizontal="center" vertical="top"/>
    </xf>
    <xf numFmtId="173" fontId="19" fillId="20" borderId="43" xfId="0" applyNumberFormat="1" applyFont="1" applyFill="1" applyBorder="1" applyAlignment="1">
      <alignment horizontal="center" vertical="top"/>
    </xf>
    <xf numFmtId="173" fontId="19" fillId="20" borderId="104" xfId="0" applyNumberFormat="1" applyFont="1" applyFill="1" applyBorder="1" applyAlignment="1">
      <alignment horizontal="center" vertical="top"/>
    </xf>
    <xf numFmtId="173" fontId="19" fillId="20" borderId="94" xfId="0" applyNumberFormat="1" applyFont="1" applyFill="1" applyBorder="1" applyAlignment="1">
      <alignment horizontal="center" vertical="top"/>
    </xf>
    <xf numFmtId="173" fontId="19" fillId="20" borderId="129" xfId="0" applyNumberFormat="1" applyFont="1" applyFill="1" applyBorder="1" applyAlignment="1">
      <alignment horizontal="center" vertical="top"/>
    </xf>
    <xf numFmtId="173" fontId="19" fillId="20" borderId="95" xfId="0" applyNumberFormat="1" applyFont="1" applyFill="1" applyBorder="1" applyAlignment="1">
      <alignment horizontal="center" vertical="top"/>
    </xf>
    <xf numFmtId="0" fontId="4" fillId="13" borderId="68" xfId="0" applyFont="1" applyFill="1" applyBorder="1" applyAlignment="1">
      <alignment wrapText="1"/>
    </xf>
    <xf numFmtId="0" fontId="4" fillId="4" borderId="82" xfId="0" applyFont="1" applyFill="1" applyBorder="1" applyAlignment="1">
      <alignment wrapText="1"/>
    </xf>
    <xf numFmtId="0" fontId="4" fillId="4" borderId="58" xfId="0" applyFont="1" applyFill="1" applyBorder="1" applyAlignment="1">
      <alignment wrapText="1"/>
    </xf>
    <xf numFmtId="0" fontId="61" fillId="4" borderId="70" xfId="0" applyFont="1" applyFill="1" applyBorder="1" applyAlignment="1">
      <alignment wrapText="1"/>
    </xf>
    <xf numFmtId="0" fontId="61" fillId="4" borderId="85" xfId="0" applyFont="1" applyFill="1" applyBorder="1" applyAlignment="1">
      <alignment wrapText="1"/>
    </xf>
    <xf numFmtId="0" fontId="61" fillId="12" borderId="82" xfId="0" applyFont="1" applyFill="1" applyBorder="1" applyAlignment="1">
      <alignment wrapText="1"/>
    </xf>
    <xf numFmtId="0" fontId="61" fillId="2" borderId="3" xfId="0" applyFont="1" applyFill="1" applyBorder="1" applyAlignment="1">
      <alignment wrapText="1"/>
    </xf>
    <xf numFmtId="0" fontId="60" fillId="2" borderId="0" xfId="0" applyFont="1" applyFill="1" applyAlignment="1">
      <alignment wrapText="1"/>
    </xf>
    <xf numFmtId="0" fontId="60" fillId="0" borderId="0" xfId="0" applyFont="1" applyAlignment="1">
      <alignment wrapText="1"/>
    </xf>
    <xf numFmtId="0" fontId="71" fillId="0" borderId="0" xfId="0" applyFont="1" applyAlignment="1">
      <alignment wrapText="1"/>
    </xf>
    <xf numFmtId="0" fontId="60" fillId="2" borderId="0" xfId="0" applyFont="1" applyFill="1"/>
    <xf numFmtId="10" fontId="60" fillId="2" borderId="0" xfId="0" applyNumberFormat="1" applyFont="1" applyFill="1"/>
    <xf numFmtId="2" fontId="60" fillId="2" borderId="0" xfId="0" applyNumberFormat="1" applyFont="1" applyFill="1"/>
    <xf numFmtId="2" fontId="60" fillId="0" borderId="0" xfId="0" applyNumberFormat="1" applyFont="1"/>
    <xf numFmtId="0" fontId="4" fillId="17" borderId="68" xfId="0" applyFont="1" applyFill="1" applyBorder="1" applyAlignment="1">
      <alignment wrapText="1"/>
    </xf>
    <xf numFmtId="0" fontId="4" fillId="12" borderId="55" xfId="0" applyFont="1" applyFill="1" applyBorder="1" applyAlignment="1">
      <alignment wrapText="1"/>
    </xf>
    <xf numFmtId="0" fontId="55" fillId="4" borderId="72" xfId="0" applyFont="1" applyFill="1" applyBorder="1" applyAlignment="1">
      <alignment vertical="top"/>
    </xf>
    <xf numFmtId="173" fontId="19" fillId="4" borderId="93" xfId="0" applyNumberFormat="1" applyFont="1" applyFill="1" applyBorder="1" applyAlignment="1">
      <alignment horizontal="center" vertical="top"/>
    </xf>
    <xf numFmtId="173" fontId="19" fillId="7" borderId="131" xfId="0" applyNumberFormat="1" applyFont="1" applyFill="1" applyBorder="1" applyAlignment="1">
      <alignment horizontal="center" vertical="top"/>
    </xf>
    <xf numFmtId="173" fontId="19" fillId="15" borderId="93" xfId="0" applyNumberFormat="1" applyFont="1" applyFill="1" applyBorder="1" applyAlignment="1">
      <alignment horizontal="center" vertical="top"/>
    </xf>
    <xf numFmtId="0" fontId="26" fillId="4" borderId="72" xfId="0" applyFont="1" applyFill="1" applyBorder="1" applyAlignment="1">
      <alignment vertical="top"/>
    </xf>
    <xf numFmtId="0" fontId="4" fillId="13" borderId="58" xfId="0" applyFont="1" applyFill="1" applyBorder="1" applyAlignment="1" applyProtection="1">
      <alignment wrapText="1"/>
      <protection locked="0"/>
    </xf>
    <xf numFmtId="0" fontId="4" fillId="17" borderId="3" xfId="0" applyFont="1" applyFill="1" applyBorder="1" applyAlignment="1">
      <alignment wrapText="1"/>
    </xf>
    <xf numFmtId="43" fontId="4" fillId="17" borderId="3" xfId="1" applyFont="1" applyFill="1" applyBorder="1" applyAlignment="1">
      <alignment wrapText="1"/>
    </xf>
    <xf numFmtId="6" fontId="4" fillId="17" borderId="3" xfId="0" applyNumberFormat="1" applyFont="1" applyFill="1" applyBorder="1" applyAlignment="1">
      <alignment wrapText="1"/>
    </xf>
    <xf numFmtId="2" fontId="4" fillId="12" borderId="57" xfId="0" applyNumberFormat="1" applyFont="1" applyFill="1" applyBorder="1" applyAlignment="1">
      <alignment wrapText="1"/>
    </xf>
    <xf numFmtId="43" fontId="4" fillId="13" borderId="57" xfId="0" applyNumberFormat="1" applyFont="1" applyFill="1" applyBorder="1" applyAlignment="1">
      <alignment wrapText="1"/>
    </xf>
    <xf numFmtId="0" fontId="4" fillId="13" borderId="3" xfId="0" applyFont="1" applyFill="1" applyBorder="1" applyAlignment="1">
      <alignment wrapText="1"/>
    </xf>
    <xf numFmtId="0" fontId="4" fillId="13" borderId="57" xfId="0" applyFont="1" applyFill="1" applyBorder="1" applyAlignment="1">
      <alignment wrapText="1"/>
    </xf>
    <xf numFmtId="0" fontId="4" fillId="13" borderId="1" xfId="0" applyFont="1" applyFill="1" applyBorder="1" applyAlignment="1">
      <alignment wrapText="1"/>
    </xf>
    <xf numFmtId="4" fontId="4" fillId="4" borderId="57" xfId="0" applyNumberFormat="1" applyFont="1" applyFill="1" applyBorder="1" applyAlignment="1">
      <alignment wrapText="1"/>
    </xf>
    <xf numFmtId="4" fontId="4" fillId="4" borderId="1" xfId="0" applyNumberFormat="1" applyFont="1" applyFill="1" applyBorder="1" applyAlignment="1">
      <alignment wrapText="1"/>
    </xf>
    <xf numFmtId="0" fontId="4" fillId="4" borderId="55" xfId="0" applyFont="1" applyFill="1" applyBorder="1" applyAlignment="1">
      <alignment wrapText="1"/>
    </xf>
    <xf numFmtId="4" fontId="4" fillId="4" borderId="0" xfId="0" applyNumberFormat="1" applyFont="1" applyFill="1" applyAlignment="1">
      <alignment wrapText="1"/>
    </xf>
    <xf numFmtId="173" fontId="19" fillId="7" borderId="77" xfId="0" applyNumberFormat="1" applyFont="1" applyFill="1" applyBorder="1" applyAlignment="1">
      <alignment horizontal="center" vertical="top"/>
    </xf>
    <xf numFmtId="173" fontId="19" fillId="7" borderId="78" xfId="0" applyNumberFormat="1" applyFont="1" applyFill="1" applyBorder="1" applyAlignment="1">
      <alignment horizontal="center" vertical="top"/>
    </xf>
    <xf numFmtId="173" fontId="19" fillId="7" borderId="40" xfId="0" applyNumberFormat="1" applyFont="1" applyFill="1" applyBorder="1" applyAlignment="1">
      <alignment horizontal="center" vertical="top"/>
    </xf>
    <xf numFmtId="173" fontId="19" fillId="7" borderId="93" xfId="0" applyNumberFormat="1" applyFont="1" applyFill="1" applyBorder="1" applyAlignment="1">
      <alignment horizontal="center" vertical="top"/>
    </xf>
    <xf numFmtId="0" fontId="60" fillId="17" borderId="55" xfId="0" applyFont="1" applyFill="1" applyBorder="1" applyAlignment="1">
      <alignment wrapText="1"/>
    </xf>
    <xf numFmtId="0" fontId="26" fillId="4" borderId="69" xfId="0" applyFont="1" applyFill="1" applyBorder="1" applyAlignment="1">
      <alignment vertical="top"/>
    </xf>
    <xf numFmtId="173" fontId="28" fillId="4" borderId="130" xfId="0" applyNumberFormat="1" applyFont="1" applyFill="1" applyBorder="1" applyAlignment="1">
      <alignment horizontal="center" vertical="top"/>
    </xf>
    <xf numFmtId="173" fontId="28" fillId="4" borderId="121" xfId="0" applyNumberFormat="1" applyFont="1" applyFill="1" applyBorder="1" applyAlignment="1">
      <alignment horizontal="center" vertical="top"/>
    </xf>
    <xf numFmtId="173" fontId="28" fillId="4" borderId="71" xfId="0" applyNumberFormat="1" applyFont="1" applyFill="1" applyBorder="1" applyAlignment="1">
      <alignment horizontal="center" vertical="top"/>
    </xf>
    <xf numFmtId="0" fontId="4" fillId="12" borderId="58" xfId="0" applyFont="1" applyFill="1" applyBorder="1" applyAlignment="1">
      <alignment wrapText="1"/>
    </xf>
    <xf numFmtId="0" fontId="4" fillId="12" borderId="82" xfId="0" applyFont="1" applyFill="1" applyBorder="1" applyAlignment="1" applyProtection="1">
      <alignment wrapText="1"/>
      <protection locked="0"/>
    </xf>
    <xf numFmtId="0" fontId="60" fillId="12" borderId="57" xfId="0" applyFont="1" applyFill="1" applyBorder="1"/>
    <xf numFmtId="0" fontId="4" fillId="12" borderId="57" xfId="0" applyFont="1" applyFill="1" applyBorder="1" applyAlignment="1">
      <alignment wrapText="1"/>
    </xf>
    <xf numFmtId="2" fontId="4" fillId="12" borderId="68" xfId="0" applyNumberFormat="1" applyFont="1" applyFill="1" applyBorder="1" applyAlignment="1">
      <alignment wrapText="1"/>
    </xf>
    <xf numFmtId="0" fontId="60" fillId="12" borderId="82" xfId="0" applyFont="1" applyFill="1" applyBorder="1" applyAlignment="1">
      <alignment wrapText="1"/>
    </xf>
    <xf numFmtId="0" fontId="4" fillId="12" borderId="82" xfId="0" applyFont="1" applyFill="1" applyBorder="1" applyAlignment="1">
      <alignment wrapText="1"/>
    </xf>
    <xf numFmtId="0" fontId="4" fillId="12" borderId="0" xfId="0" applyFont="1" applyFill="1" applyAlignment="1">
      <alignment wrapText="1"/>
    </xf>
    <xf numFmtId="1" fontId="40" fillId="12" borderId="55" xfId="0" applyNumberFormat="1" applyFont="1" applyFill="1" applyBorder="1"/>
    <xf numFmtId="2" fontId="40" fillId="12" borderId="55" xfId="1" applyNumberFormat="1" applyFont="1" applyFill="1" applyBorder="1"/>
    <xf numFmtId="1" fontId="4" fillId="6" borderId="99" xfId="0" applyNumberFormat="1" applyFont="1" applyFill="1" applyBorder="1" applyAlignment="1" applyProtection="1">
      <alignment horizontal="center" vertical="top"/>
      <protection locked="0"/>
    </xf>
    <xf numFmtId="1" fontId="4" fillId="6" borderId="100" xfId="0" applyNumberFormat="1" applyFont="1" applyFill="1" applyBorder="1" applyAlignment="1" applyProtection="1">
      <alignment horizontal="center" vertical="top"/>
      <protection locked="0"/>
    </xf>
    <xf numFmtId="2" fontId="4" fillId="13" borderId="57" xfId="0" applyNumberFormat="1" applyFont="1" applyFill="1" applyBorder="1" applyAlignment="1">
      <alignment wrapText="1"/>
    </xf>
    <xf numFmtId="2" fontId="4" fillId="13" borderId="3" xfId="0" applyNumberFormat="1" applyFont="1" applyFill="1" applyBorder="1" applyAlignment="1">
      <alignment wrapText="1"/>
    </xf>
    <xf numFmtId="0" fontId="63" fillId="4" borderId="58" xfId="0" applyFont="1" applyFill="1" applyBorder="1" applyAlignment="1">
      <alignment wrapText="1"/>
    </xf>
  </cellXfs>
  <cellStyles count="6">
    <cellStyle name="Comma" xfId="1" builtinId="3"/>
    <cellStyle name="Currency" xfId="2" builtinId="4"/>
    <cellStyle name="Hyperlink" xfId="3" builtinId="8"/>
    <cellStyle name="Normal" xfId="0" builtinId="0"/>
    <cellStyle name="Normal_PXAPP826" xfId="4" xr:uid="{C379A9F2-DB10-4FA8-918B-7ED8A219F871}"/>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dialogsheet" Target="dialogsheets/sheet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3.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ialogsheets/_rels/sheet1.xml.rels><?xml version="1.0" encoding="UTF-8" standalone="yes"?>
<Relationships xmlns="http://schemas.openxmlformats.org/package/2006/relationships"><Relationship Id="rId1" Type="http://schemas.openxmlformats.org/officeDocument/2006/relationships/vmlDrawing" Target="../drawings/vmlDrawing5.vml"/></Relationships>
</file>

<file path=xl/dialogsheets/sheet1.xml><?xml version="1.0" encoding="utf-8"?>
<dialog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r6="http://schemas.microsoft.com/office/spreadsheetml/2016/revision6" mc:Ignorable="x14ac xr xr2 xr3 xr6" xr6:uid="{49A6CD9A-2C95-46C7-B965-50E7052C1D6A}">
  <sheetViews>
    <sheetView showRowColHeaders="0" showZeros="0" showOutlineSymbols="0" workbookViewId="0"/>
  </sheetViews>
  <sheetFormatPr defaultColWidth="1" defaultRowHeight="5.25" customHeight="1" x14ac:dyDescent="0.2"/>
  <sheetProtection sheet="1"/>
  <pageMargins left="0.75" right="0.75" top="1" bottom="1" header="0.5" footer="0.5"/>
  <headerFooter alignWithMargins="0"/>
  <legacyDrawing r:id="rId1"/>
</dialogsheet>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285750</xdr:colOff>
          <xdr:row>38</xdr:row>
          <xdr:rowOff>0</xdr:rowOff>
        </xdr:from>
        <xdr:to>
          <xdr:col>5</xdr:col>
          <xdr:colOff>314325</xdr:colOff>
          <xdr:row>38</xdr:row>
          <xdr:rowOff>200025</xdr:rowOff>
        </xdr:to>
        <xdr:sp macro="" textlink="">
          <xdr:nvSpPr>
            <xdr:cNvPr id="4126" name="BtnAddRow"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EPE Data .xls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352425</xdr:colOff>
          <xdr:row>38</xdr:row>
          <xdr:rowOff>0</xdr:rowOff>
        </xdr:from>
        <xdr:to>
          <xdr:col>7</xdr:col>
          <xdr:colOff>381000</xdr:colOff>
          <xdr:row>38</xdr:row>
          <xdr:rowOff>200025</xdr:rowOff>
        </xdr:to>
        <xdr:sp macro="" textlink="">
          <xdr:nvSpPr>
            <xdr:cNvPr id="4128" name="BtnAddRow"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Spinning Reserves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438150</xdr:colOff>
          <xdr:row>38</xdr:row>
          <xdr:rowOff>9525</xdr:rowOff>
        </xdr:from>
        <xdr:to>
          <xdr:col>9</xdr:col>
          <xdr:colOff>476250</xdr:colOff>
          <xdr:row>38</xdr:row>
          <xdr:rowOff>209550</xdr:rowOff>
        </xdr:to>
        <xdr:sp macro="" textlink="">
          <xdr:nvSpPr>
            <xdr:cNvPr id="4132" name="Button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Import EPE File</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0</xdr:colOff>
          <xdr:row>1</xdr:row>
          <xdr:rowOff>0</xdr:rowOff>
        </xdr:to>
        <xdr:sp macro="" textlink="">
          <xdr:nvSpPr>
            <xdr:cNvPr id="2049" name="BtnAddRow"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Add </a:t>
              </a:r>
              <a:r>
                <a:rPr lang="en-US" sz="800" b="0" i="0" u="none" strike="noStrike" baseline="0">
                  <a:solidFill>
                    <a:srgbClr val="000000"/>
                  </a:solidFill>
                  <a:latin typeface="Arial"/>
                  <a:cs typeface="Arial"/>
                </a:rPr>
                <a:t>Row (ctrl-a)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314325</xdr:colOff>
          <xdr:row>0</xdr:row>
          <xdr:rowOff>0</xdr:rowOff>
        </xdr:from>
        <xdr:to>
          <xdr:col>6</xdr:col>
          <xdr:colOff>0</xdr:colOff>
          <xdr:row>0</xdr:row>
          <xdr:rowOff>0</xdr:rowOff>
        </xdr:to>
        <xdr:sp macro="" textlink="">
          <xdr:nvSpPr>
            <xdr:cNvPr id="2051" name="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Sort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200025</xdr:colOff>
          <xdr:row>135</xdr:row>
          <xdr:rowOff>171450</xdr:rowOff>
        </xdr:from>
        <xdr:to>
          <xdr:col>12</xdr:col>
          <xdr:colOff>95250</xdr:colOff>
          <xdr:row>136</xdr:row>
          <xdr:rowOff>95250</xdr:rowOff>
        </xdr:to>
        <xdr:sp macro="" textlink="">
          <xdr:nvSpPr>
            <xdr:cNvPr id="2302" name="BtnAddRow" hidden="1">
              <a:extLst>
                <a:ext uri="{63B3BB69-23CF-44E3-9099-C40C66FF867C}">
                  <a14:compatExt spid="_x0000_s2302"/>
                </a:ext>
                <a:ext uri="{FF2B5EF4-FFF2-40B4-BE49-F238E27FC236}">
                  <a16:creationId xmlns:a16="http://schemas.microsoft.com/office/drawing/2014/main" id="{00000000-0008-0000-0100-0000F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Prescheduled EPE March</a:t>
              </a:r>
            </a:p>
          </xdr:txBody>
        </xdr:sp>
        <xdr:clientData fPrintsWithSheet="0"/>
      </xdr:twoCellAnchor>
    </mc:Choice>
    <mc:Fallback/>
  </mc:AlternateContent>
  <xdr:twoCellAnchor>
    <xdr:from>
      <xdr:col>7</xdr:col>
      <xdr:colOff>238125</xdr:colOff>
      <xdr:row>137</xdr:row>
      <xdr:rowOff>0</xdr:rowOff>
    </xdr:from>
    <xdr:to>
      <xdr:col>24</xdr:col>
      <xdr:colOff>247650</xdr:colOff>
      <xdr:row>160</xdr:row>
      <xdr:rowOff>76200</xdr:rowOff>
    </xdr:to>
    <xdr:sp macro="" textlink="">
      <xdr:nvSpPr>
        <xdr:cNvPr id="2303" name="Text Box 255">
          <a:extLst>
            <a:ext uri="{FF2B5EF4-FFF2-40B4-BE49-F238E27FC236}">
              <a16:creationId xmlns:a16="http://schemas.microsoft.com/office/drawing/2014/main" id="{40C6AA18-3815-5365-DCE6-8E16105CF592}"/>
            </a:ext>
          </a:extLst>
        </xdr:cNvPr>
        <xdr:cNvSpPr txBox="1">
          <a:spLocks noChangeArrowheads="1"/>
        </xdr:cNvSpPr>
      </xdr:nvSpPr>
      <xdr:spPr bwMode="auto">
        <a:xfrm>
          <a:off x="5238750" y="15297150"/>
          <a:ext cx="8267700" cy="39528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El Paso email sent to Jeff Miller, John Forney and Phill Platter.  A copy of this email can be found in O:\Portland\WestDesk\California\Customer PX Bids\EPE\</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information is transposed into the California position in the morning. (see Cali packet)</a:t>
          </a:r>
        </a:p>
        <a:p>
          <a:pPr algn="l" rtl="0">
            <a:defRPr sz="1000"/>
          </a:pPr>
          <a:r>
            <a:rPr lang="en-US" sz="1000" b="0" i="0" u="none" strike="noStrike" baseline="0">
              <a:solidFill>
                <a:srgbClr val="000000"/>
              </a:solidFill>
              <a:latin typeface="Arial"/>
              <a:cs typeface="Arial"/>
            </a:rPr>
            <a:t>After the auction a copy of what was awarded is given to the person doing the preschedule aand this spreadsheet is adjusted accordingly. If there is any discrepency, refer to the California packet or California packet spreadsheet.</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Settlement Adder is an estimate based on a CISO memo sent to market participants on 3/5/99.  These are in addition to the actual TMM that are published on the web.   So far these have only applied to the Four Corners-Moenkopi Eldorado 500 KV path and not to the PV schedules.</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9525</xdr:colOff>
          <xdr:row>2</xdr:row>
          <xdr:rowOff>57150</xdr:rowOff>
        </xdr:from>
        <xdr:to>
          <xdr:col>9</xdr:col>
          <xdr:colOff>0</xdr:colOff>
          <xdr:row>3</xdr:row>
          <xdr:rowOff>142875</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0900-000002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Load Price Data</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7.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2A009-2E5B-4BC4-A9B2-4575DFD7337F}">
  <sheetPr codeName="Sheet6"/>
  <dimension ref="A1:AG222"/>
  <sheetViews>
    <sheetView showGridLines="0" zoomScale="62" workbookViewId="0">
      <selection activeCell="Q4" sqref="Q4"/>
    </sheetView>
  </sheetViews>
  <sheetFormatPr defaultRowHeight="12.75" x14ac:dyDescent="0.2"/>
  <cols>
    <col min="1" max="1" width="23.140625" style="168" customWidth="1"/>
    <col min="2" max="2" width="11.5703125" style="155" customWidth="1"/>
    <col min="3" max="4" width="8.85546875" style="155" customWidth="1"/>
    <col min="5" max="5" width="10" style="155" customWidth="1"/>
    <col min="6" max="7" width="8.85546875" style="155" customWidth="1"/>
    <col min="8" max="8" width="8.7109375" style="155" customWidth="1"/>
    <col min="9" max="9" width="7.7109375" style="155" customWidth="1"/>
    <col min="10" max="10" width="8.42578125" style="155" customWidth="1"/>
    <col min="11" max="11" width="8" style="155" customWidth="1"/>
    <col min="12" max="12" width="7.85546875" style="155" customWidth="1"/>
    <col min="13" max="13" width="7.7109375" style="155" customWidth="1"/>
    <col min="14" max="14" width="7.28515625" style="155" customWidth="1"/>
    <col min="15" max="16" width="8.28515625" style="155" customWidth="1"/>
    <col min="17" max="18" width="7.85546875" style="155" customWidth="1"/>
    <col min="19" max="19" width="9.140625" style="155"/>
    <col min="20" max="20" width="8" style="155" customWidth="1"/>
    <col min="21" max="22" width="7.85546875" style="155" customWidth="1"/>
    <col min="23" max="23" width="10.28515625" style="155" bestFit="1" customWidth="1"/>
    <col min="24" max="24" width="7.5703125" style="155" customWidth="1"/>
    <col min="25" max="25" width="9.28515625" style="155" customWidth="1"/>
    <col min="26" max="26" width="11.85546875" style="155" customWidth="1"/>
    <col min="27" max="27" width="12.42578125" style="169" customWidth="1"/>
    <col min="28" max="28" width="9.140625" style="155"/>
    <col min="29" max="29" width="12.85546875" style="155" customWidth="1"/>
    <col min="30" max="16384" width="9.140625" style="155"/>
  </cols>
  <sheetData>
    <row r="1" spans="1:30" ht="15.75" customHeight="1" thickBot="1" x14ac:dyDescent="0.3">
      <c r="A1" s="559">
        <v>37025</v>
      </c>
      <c r="B1" s="528"/>
      <c r="C1" s="528"/>
      <c r="D1" s="528"/>
      <c r="E1" s="528"/>
      <c r="F1" s="528"/>
      <c r="G1" s="528"/>
      <c r="H1" s="528"/>
      <c r="I1" s="528"/>
      <c r="J1" s="528"/>
      <c r="K1" s="598"/>
      <c r="L1" s="528"/>
      <c r="M1" s="528"/>
      <c r="N1" s="528"/>
      <c r="O1" s="528"/>
      <c r="P1" s="528"/>
      <c r="Q1" s="528"/>
      <c r="R1" s="528"/>
      <c r="S1" s="528"/>
      <c r="T1" s="528"/>
      <c r="U1" s="528"/>
      <c r="V1" s="528"/>
      <c r="W1" s="528"/>
      <c r="X1" s="528"/>
      <c r="Y1" s="529"/>
      <c r="AA1" s="156"/>
    </row>
    <row r="2" spans="1:30" s="451" customFormat="1" ht="17.25" customHeight="1" thickBot="1" x14ac:dyDescent="0.3">
      <c r="A2" s="560"/>
      <c r="B2" s="453" t="s">
        <v>366</v>
      </c>
      <c r="C2" s="453" t="s">
        <v>366</v>
      </c>
      <c r="D2" s="453" t="s">
        <v>366</v>
      </c>
      <c r="E2" s="453" t="s">
        <v>366</v>
      </c>
      <c r="F2" s="453" t="s">
        <v>366</v>
      </c>
      <c r="G2" s="453" t="s">
        <v>366</v>
      </c>
      <c r="H2" s="453" t="s">
        <v>366</v>
      </c>
      <c r="I2" s="453" t="s">
        <v>366</v>
      </c>
      <c r="J2" s="453" t="s">
        <v>366</v>
      </c>
      <c r="K2" s="453" t="s">
        <v>366</v>
      </c>
      <c r="L2" s="453" t="s">
        <v>366</v>
      </c>
      <c r="M2" s="453" t="s">
        <v>366</v>
      </c>
      <c r="N2" s="453" t="s">
        <v>366</v>
      </c>
      <c r="O2" s="453" t="s">
        <v>366</v>
      </c>
      <c r="P2" s="453" t="s">
        <v>366</v>
      </c>
      <c r="Q2" s="453" t="s">
        <v>366</v>
      </c>
      <c r="R2" s="453" t="s">
        <v>366</v>
      </c>
      <c r="S2" s="453" t="s">
        <v>366</v>
      </c>
      <c r="T2" s="453" t="s">
        <v>366</v>
      </c>
      <c r="U2" s="453" t="s">
        <v>366</v>
      </c>
      <c r="V2" s="453" t="s">
        <v>366</v>
      </c>
      <c r="W2" s="453" t="s">
        <v>366</v>
      </c>
      <c r="X2" s="453" t="s">
        <v>366</v>
      </c>
      <c r="Y2" s="546" t="s">
        <v>366</v>
      </c>
      <c r="AA2" s="452"/>
    </row>
    <row r="3" spans="1:30" ht="13.5" thickBot="1" x14ac:dyDescent="0.25">
      <c r="A3" s="485" t="s">
        <v>336</v>
      </c>
      <c r="B3" s="467">
        <v>1</v>
      </c>
      <c r="C3" s="465">
        <v>2</v>
      </c>
      <c r="D3" s="465">
        <v>3</v>
      </c>
      <c r="E3" s="465">
        <v>4</v>
      </c>
      <c r="F3" s="465">
        <v>5</v>
      </c>
      <c r="G3" s="465">
        <v>6</v>
      </c>
      <c r="H3" s="465">
        <v>7</v>
      </c>
      <c r="I3" s="465">
        <v>8</v>
      </c>
      <c r="J3" s="465">
        <v>9</v>
      </c>
      <c r="K3" s="465">
        <v>10</v>
      </c>
      <c r="L3" s="465">
        <v>11</v>
      </c>
      <c r="M3" s="465">
        <v>12</v>
      </c>
      <c r="N3" s="465">
        <v>13</v>
      </c>
      <c r="O3" s="465">
        <v>14</v>
      </c>
      <c r="P3" s="465">
        <v>15</v>
      </c>
      <c r="Q3" s="465">
        <v>16</v>
      </c>
      <c r="R3" s="465">
        <v>17</v>
      </c>
      <c r="S3" s="466">
        <v>18</v>
      </c>
      <c r="T3" s="467">
        <v>19</v>
      </c>
      <c r="U3" s="465">
        <v>20</v>
      </c>
      <c r="V3" s="465">
        <v>21</v>
      </c>
      <c r="W3" s="465">
        <v>22</v>
      </c>
      <c r="X3" s="465">
        <v>23</v>
      </c>
      <c r="Y3" s="530">
        <v>24</v>
      </c>
      <c r="AA3" s="156"/>
    </row>
    <row r="4" spans="1:30" s="338" customFormat="1" x14ac:dyDescent="0.2">
      <c r="A4" s="531" t="s">
        <v>306</v>
      </c>
      <c r="B4" s="699">
        <v>617</v>
      </c>
      <c r="C4" s="699">
        <v>597</v>
      </c>
      <c r="D4" s="699">
        <v>582</v>
      </c>
      <c r="E4" s="699">
        <v>611</v>
      </c>
      <c r="F4" s="699">
        <v>627</v>
      </c>
      <c r="G4" s="699">
        <v>700</v>
      </c>
      <c r="H4" s="699">
        <v>750</v>
      </c>
      <c r="I4" s="699">
        <v>839</v>
      </c>
      <c r="J4" s="699">
        <v>886</v>
      </c>
      <c r="K4" s="699">
        <v>923</v>
      </c>
      <c r="L4" s="699">
        <v>949</v>
      </c>
      <c r="M4" s="699">
        <v>955</v>
      </c>
      <c r="N4" s="699">
        <v>977</v>
      </c>
      <c r="O4" s="699">
        <v>985</v>
      </c>
      <c r="P4" s="699">
        <v>999</v>
      </c>
      <c r="Q4" s="699">
        <v>979</v>
      </c>
      <c r="R4" s="699">
        <v>966</v>
      </c>
      <c r="S4" s="699">
        <v>920</v>
      </c>
      <c r="T4" s="699">
        <v>889</v>
      </c>
      <c r="U4" s="699">
        <v>945</v>
      </c>
      <c r="V4" s="699">
        <v>928</v>
      </c>
      <c r="W4" s="699">
        <v>830</v>
      </c>
      <c r="X4" s="699">
        <v>708</v>
      </c>
      <c r="Y4" s="700">
        <v>649</v>
      </c>
      <c r="Z4" s="337">
        <f>SUM(B4:Y4)</f>
        <v>19811</v>
      </c>
      <c r="AA4" s="337"/>
      <c r="AB4" s="337"/>
      <c r="AC4" s="337"/>
      <c r="AD4" s="337"/>
    </row>
    <row r="5" spans="1:30" s="157" customFormat="1" ht="13.5" thickBot="1" x14ac:dyDescent="0.25">
      <c r="A5" s="532" t="s">
        <v>65</v>
      </c>
      <c r="B5" s="572">
        <f>Deals!F4</f>
        <v>25</v>
      </c>
      <c r="C5" s="572">
        <f>Deals!G4</f>
        <v>25</v>
      </c>
      <c r="D5" s="572">
        <f>Deals!H4</f>
        <v>25</v>
      </c>
      <c r="E5" s="572">
        <f>Deals!I4</f>
        <v>25</v>
      </c>
      <c r="F5" s="572">
        <f>Deals!J4</f>
        <v>25</v>
      </c>
      <c r="G5" s="572">
        <f>Deals!K4</f>
        <v>25</v>
      </c>
      <c r="H5" s="572">
        <f>Deals!L4</f>
        <v>25</v>
      </c>
      <c r="I5" s="572">
        <f>Deals!M4</f>
        <v>25</v>
      </c>
      <c r="J5" s="572">
        <f>Deals!N4</f>
        <v>25</v>
      </c>
      <c r="K5" s="572">
        <f>Deals!O4</f>
        <v>25</v>
      </c>
      <c r="L5" s="572">
        <f>Deals!P4</f>
        <v>25</v>
      </c>
      <c r="M5" s="572">
        <f>Deals!Q4</f>
        <v>25</v>
      </c>
      <c r="N5" s="572">
        <f>Deals!R4</f>
        <v>25</v>
      </c>
      <c r="O5" s="572">
        <f>Deals!S4</f>
        <v>25</v>
      </c>
      <c r="P5" s="572">
        <f>Deals!T4</f>
        <v>25</v>
      </c>
      <c r="Q5" s="572">
        <f>Deals!U4</f>
        <v>25</v>
      </c>
      <c r="R5" s="572">
        <f>Deals!V4</f>
        <v>25</v>
      </c>
      <c r="S5" s="572">
        <f>Deals!W4</f>
        <v>25</v>
      </c>
      <c r="T5" s="572">
        <f>Deals!X4</f>
        <v>25</v>
      </c>
      <c r="U5" s="572">
        <f>Deals!Y4</f>
        <v>25</v>
      </c>
      <c r="V5" s="572">
        <f>Deals!Z4</f>
        <v>25</v>
      </c>
      <c r="W5" s="572">
        <f>Deals!AA4</f>
        <v>25</v>
      </c>
      <c r="X5" s="572">
        <f>Deals!AB4</f>
        <v>25</v>
      </c>
      <c r="Y5" s="572">
        <f>Deals!AC4</f>
        <v>25</v>
      </c>
      <c r="Z5" s="337"/>
      <c r="AA5" s="158"/>
    </row>
    <row r="6" spans="1:30" s="157" customFormat="1" ht="12" x14ac:dyDescent="0.2">
      <c r="A6" s="470" t="s">
        <v>24</v>
      </c>
      <c r="B6" s="471"/>
      <c r="C6" s="471"/>
      <c r="D6" s="471"/>
      <c r="E6" s="471"/>
      <c r="F6" s="471"/>
      <c r="G6" s="471"/>
      <c r="H6" s="471"/>
      <c r="I6" s="471"/>
      <c r="J6" s="471"/>
      <c r="K6" s="471"/>
      <c r="L6" s="471"/>
      <c r="M6" s="471"/>
      <c r="N6" s="471"/>
      <c r="O6" s="471"/>
      <c r="P6" s="471"/>
      <c r="Q6" s="471"/>
      <c r="R6" s="471"/>
      <c r="S6" s="471"/>
      <c r="T6" s="471"/>
      <c r="U6" s="471"/>
      <c r="V6" s="471"/>
      <c r="W6" s="471"/>
      <c r="X6" s="471"/>
      <c r="Y6" s="472"/>
      <c r="AA6" s="158"/>
    </row>
    <row r="7" spans="1:30" s="157" customFormat="1" thickBot="1" x14ac:dyDescent="0.25">
      <c r="A7" s="473" t="s">
        <v>26</v>
      </c>
      <c r="B7" s="454"/>
      <c r="C7" s="454"/>
      <c r="D7" s="454"/>
      <c r="E7" s="454"/>
      <c r="F7" s="454"/>
      <c r="G7" s="454"/>
      <c r="H7" s="454"/>
      <c r="I7" s="454"/>
      <c r="J7" s="454"/>
      <c r="K7" s="454"/>
      <c r="L7" s="454"/>
      <c r="M7" s="454"/>
      <c r="N7" s="454"/>
      <c r="O7" s="454">
        <v>0</v>
      </c>
      <c r="P7" s="454"/>
      <c r="Q7" s="454"/>
      <c r="R7" s="454"/>
      <c r="S7" s="454"/>
      <c r="T7" s="454"/>
      <c r="U7" s="454"/>
      <c r="V7" s="454"/>
      <c r="W7" s="454"/>
      <c r="X7" s="454"/>
      <c r="Y7" s="474"/>
      <c r="AA7" s="158"/>
    </row>
    <row r="8" spans="1:30" s="157" customFormat="1" ht="12" x14ac:dyDescent="0.2">
      <c r="A8" s="455" t="s">
        <v>253</v>
      </c>
      <c r="B8" s="680">
        <f t="array" aca="1" ref="B8" ca="1">SUM(IF((DelPoint= "4C")*(DType = "pre")*(OFFSET(DelPoint,0,B3+2)&lt;0),OFFSET(DelPoint,0,B3+2),0))</f>
        <v>0</v>
      </c>
      <c r="C8" s="680">
        <f t="array" aca="1" ref="C8" ca="1">SUM(IF((DelPoint= "4C")*(DType = "pre")*(OFFSET(DelPoint,0,C3+2)&lt;0),OFFSET(DelPoint,0,C3+2),0))</f>
        <v>0</v>
      </c>
      <c r="D8" s="680">
        <f t="array" aca="1" ref="D8" ca="1">SUM(IF((DelPoint= "4C")*(DType = "pre")*(OFFSET(DelPoint,0,D3+2)&lt;0),OFFSET(DelPoint,0,D3+2),0))</f>
        <v>0</v>
      </c>
      <c r="E8" s="680">
        <f t="array" aca="1" ref="E8" ca="1">SUM(IF((DelPoint= "4C")*(DType = "pre")*(OFFSET(DelPoint,0,E3+2)&lt;0),OFFSET(DelPoint,0,E3+2),0))</f>
        <v>0</v>
      </c>
      <c r="F8" s="680">
        <f t="array" aca="1" ref="F8" ca="1">SUM(IF((DelPoint= "4C")*(DType = "pre")*(OFFSET(DelPoint,0,F3+2)&lt;0),OFFSET(DelPoint,0,F3+2),0))</f>
        <v>0</v>
      </c>
      <c r="G8" s="680">
        <f t="array" aca="1" ref="G8" ca="1">SUM(IF((DelPoint= "4C")*(DType = "pre")*(OFFSET(DelPoint,0,G3+2)&lt;0),OFFSET(DelPoint,0,G3+2),0))</f>
        <v>0</v>
      </c>
      <c r="H8" s="680">
        <f t="array" aca="1" ref="H8" ca="1">SUM(IF((DelPoint= "4C")*(DType = "pre")*(OFFSET(DelPoint,0,H3+2)&lt;0),OFFSET(DelPoint,0,H3+2),0))</f>
        <v>0</v>
      </c>
      <c r="I8" s="680">
        <f t="array" aca="1" ref="I8" ca="1">SUM(IF((DelPoint= "4C")*(DType = "pre")*(OFFSET(DelPoint,0,I3+2)&lt;0),OFFSET(DelPoint,0,I3+2),0))</f>
        <v>0</v>
      </c>
      <c r="J8" s="680">
        <f t="array" aca="1" ref="J8" ca="1">SUM(IF((DelPoint= "4C")*(DType = "pre")*(OFFSET(DelPoint,0,J3+2)&lt;0),OFFSET(DelPoint,0,J3+2),0))</f>
        <v>0</v>
      </c>
      <c r="K8" s="680">
        <f t="array" aca="1" ref="K8" ca="1">SUM(IF((DelPoint= "4C")*(DType = "pre")*(OFFSET(DelPoint,0,K3+2)&lt;0),OFFSET(DelPoint,0,K3+2),0))</f>
        <v>0</v>
      </c>
      <c r="L8" s="680">
        <f t="array" aca="1" ref="L8" ca="1">SUM(IF((DelPoint= "4C")*(DType = "pre")*(OFFSET(DelPoint,0,L3+2)&lt;0),OFFSET(DelPoint,0,L3+2),0))</f>
        <v>0</v>
      </c>
      <c r="M8" s="680">
        <f t="array" aca="1" ref="M8" ca="1">SUM(IF((DelPoint= "4C")*(DType = "pre")*(OFFSET(DelPoint,0,M3+2)&lt;0),OFFSET(DelPoint,0,M3+2),0))</f>
        <v>0</v>
      </c>
      <c r="N8" s="680">
        <f t="array" aca="1" ref="N8" ca="1">SUM(IF((DelPoint= "4C")*(DType = "pre")*(OFFSET(DelPoint,0,N3+2)&lt;0),OFFSET(DelPoint,0,N3+2),0))</f>
        <v>0</v>
      </c>
      <c r="O8" s="680">
        <f t="array" aca="1" ref="O8" ca="1">SUM(IF((DelPoint= "4C")*(DType = "pre")*(OFFSET(DelPoint,0,O3+2)&lt;0),OFFSET(DelPoint,0,O3+2),0))</f>
        <v>0</v>
      </c>
      <c r="P8" s="680">
        <f t="array" aca="1" ref="P8" ca="1">SUM(IF((DelPoint= "4C")*(DType = "pre")*(OFFSET(DelPoint,0,P3+2)&lt;0),OFFSET(DelPoint,0,P3+2),0))</f>
        <v>0</v>
      </c>
      <c r="Q8" s="680">
        <f t="array" aca="1" ref="Q8" ca="1">SUM(IF((DelPoint= "4C")*(DType = "pre")*(OFFSET(DelPoint,0,Q3+2)&lt;0),OFFSET(DelPoint,0,Q3+2),0))</f>
        <v>0</v>
      </c>
      <c r="R8" s="680">
        <f t="array" aca="1" ref="R8" ca="1">SUM(IF((DelPoint= "4C")*(DType = "pre")*(OFFSET(DelPoint,0,R3+2)&lt;0),OFFSET(DelPoint,0,R3+2),0))</f>
        <v>0</v>
      </c>
      <c r="S8" s="680">
        <f t="array" aca="1" ref="S8" ca="1">SUM(IF((DelPoint= "4C")*(DType = "pre")*(OFFSET(DelPoint,0,S3+2)&lt;0),OFFSET(DelPoint,0,S3+2),0))</f>
        <v>0</v>
      </c>
      <c r="T8" s="680">
        <f t="array" aca="1" ref="T8" ca="1">SUM(IF((DelPoint= "4C")*(DType = "pre")*(OFFSET(DelPoint,0,T3+2)&lt;0),OFFSET(DelPoint,0,T3+2),0))</f>
        <v>0</v>
      </c>
      <c r="U8" s="680">
        <f t="array" aca="1" ref="U8" ca="1">SUM(IF((DelPoint= "4C")*(DType = "pre")*(OFFSET(DelPoint,0,U3+2)&lt;0),OFFSET(DelPoint,0,U3+2),0))</f>
        <v>0</v>
      </c>
      <c r="V8" s="680">
        <f t="array" aca="1" ref="V8" ca="1">SUM(IF((DelPoint= "4C")*(DType = "pre")*(OFFSET(DelPoint,0,V3+2)&lt;0),OFFSET(DelPoint,0,V3+2),0))</f>
        <v>0</v>
      </c>
      <c r="W8" s="680">
        <f t="array" aca="1" ref="W8" ca="1">SUM(IF((DelPoint= "4C")*(DType = "pre")*(OFFSET(DelPoint,0,W3+2)&lt;0),OFFSET(DelPoint,0,W3+2),0))</f>
        <v>0</v>
      </c>
      <c r="X8" s="680">
        <f t="array" aca="1" ref="X8" ca="1">SUM(IF((DelPoint= "4C")*(DType = "pre")*(OFFSET(DelPoint,0,X3+2)&lt;0),OFFSET(DelPoint,0,X3+2),0))</f>
        <v>0</v>
      </c>
      <c r="Y8" s="681">
        <f t="array" aca="1" ref="Y8" ca="1">SUM(IF((DelPoint= "4C")*(DType = "pre")*(OFFSET(DelPoint,0,Y3+2)&lt;0),OFFSET(DelPoint,0,Y3+2),0))</f>
        <v>0</v>
      </c>
      <c r="AA8" s="158"/>
    </row>
    <row r="9" spans="1:30" s="157" customFormat="1" ht="12" x14ac:dyDescent="0.2">
      <c r="A9" s="456" t="s">
        <v>28</v>
      </c>
      <c r="B9" s="682"/>
      <c r="C9" s="682"/>
      <c r="D9" s="682"/>
      <c r="E9" s="682">
        <f t="shared" ref="E9:Y9" ca="1" si="0">SUMIF(OFFSET(CBalancingVol,E$3,0),"&lt;0")</f>
        <v>0</v>
      </c>
      <c r="F9" s="682">
        <f t="shared" ca="1" si="0"/>
        <v>0</v>
      </c>
      <c r="G9" s="682">
        <f t="shared" ca="1" si="0"/>
        <v>0</v>
      </c>
      <c r="H9" s="682">
        <f t="shared" ca="1" si="0"/>
        <v>0</v>
      </c>
      <c r="I9" s="682">
        <f t="shared" ca="1" si="0"/>
        <v>0</v>
      </c>
      <c r="J9" s="682">
        <f t="shared" ca="1" si="0"/>
        <v>0</v>
      </c>
      <c r="K9" s="682">
        <f t="shared" ca="1" si="0"/>
        <v>0</v>
      </c>
      <c r="L9" s="682">
        <f t="shared" ca="1" si="0"/>
        <v>0</v>
      </c>
      <c r="M9" s="682">
        <f t="shared" ca="1" si="0"/>
        <v>0</v>
      </c>
      <c r="N9" s="682">
        <f t="shared" ca="1" si="0"/>
        <v>0</v>
      </c>
      <c r="O9" s="682">
        <f t="shared" ca="1" si="0"/>
        <v>0</v>
      </c>
      <c r="P9" s="682">
        <f t="shared" ca="1" si="0"/>
        <v>0</v>
      </c>
      <c r="Q9" s="682">
        <f t="shared" ca="1" si="0"/>
        <v>0</v>
      </c>
      <c r="R9" s="682">
        <f t="shared" ca="1" si="0"/>
        <v>0</v>
      </c>
      <c r="S9" s="682">
        <f t="shared" ca="1" si="0"/>
        <v>0</v>
      </c>
      <c r="T9" s="682">
        <f t="shared" ca="1" si="0"/>
        <v>0</v>
      </c>
      <c r="U9" s="682">
        <f t="shared" ca="1" si="0"/>
        <v>0</v>
      </c>
      <c r="V9" s="682">
        <f t="shared" ca="1" si="0"/>
        <v>0</v>
      </c>
      <c r="W9" s="682">
        <f t="shared" ca="1" si="0"/>
        <v>0</v>
      </c>
      <c r="X9" s="682">
        <f t="shared" ca="1" si="0"/>
        <v>0</v>
      </c>
      <c r="Y9" s="683">
        <f t="shared" ca="1" si="0"/>
        <v>0</v>
      </c>
      <c r="AA9" s="158"/>
    </row>
    <row r="10" spans="1:30" s="157" customFormat="1" ht="12" x14ac:dyDescent="0.2">
      <c r="A10" s="456" t="s">
        <v>359</v>
      </c>
      <c r="B10" s="605"/>
      <c r="C10" s="605"/>
      <c r="D10" s="605"/>
      <c r="E10" s="605"/>
      <c r="F10" s="605"/>
      <c r="G10" s="605"/>
      <c r="H10" s="605"/>
      <c r="I10" s="605"/>
      <c r="J10" s="605"/>
      <c r="K10" s="605"/>
      <c r="L10" s="605"/>
      <c r="M10" s="605"/>
      <c r="N10" s="605"/>
      <c r="O10" s="605"/>
      <c r="P10" s="605"/>
      <c r="Q10" s="605"/>
      <c r="R10" s="605"/>
      <c r="S10" s="605"/>
      <c r="T10" s="605"/>
      <c r="U10" s="605"/>
      <c r="V10" s="605"/>
      <c r="W10" s="605"/>
      <c r="X10" s="605"/>
      <c r="Y10" s="611"/>
      <c r="AA10" s="158"/>
    </row>
    <row r="11" spans="1:30" s="157" customFormat="1" ht="12" x14ac:dyDescent="0.2">
      <c r="A11" s="456" t="s">
        <v>254</v>
      </c>
      <c r="B11" s="605">
        <f t="array" aca="1" ref="B11" ca="1">SUM(IF((DelPoint= "4C")*IF((DType = "firm")+(DType = "econ")&gt;0,1,0)*(OFFSET(DelPoint,0,B3+2)&lt;0),OFFSET(DelPoint,0,B3+2),0))</f>
        <v>0</v>
      </c>
      <c r="C11" s="605">
        <f t="array" aca="1" ref="C11" ca="1">SUM(IF((DelPoint= "4C")*IF((DType = "firm")+(DType = "econ")&gt;0,1,0)*(OFFSET(DelPoint,0,C3+2)&lt;0),OFFSET(DelPoint,0,C3+2),0))</f>
        <v>0</v>
      </c>
      <c r="D11" s="605">
        <f t="array" aca="1" ref="D11" ca="1">SUM(IF((DelPoint= "4C")*IF((DType = "firm")+(DType = "econ")&gt;0,1,0)*(OFFSET(DelPoint,0,D3+2)&lt;0),OFFSET(DelPoint,0,D3+2),0))</f>
        <v>0</v>
      </c>
      <c r="E11" s="605">
        <f t="array" aca="1" ref="E11" ca="1">SUM(IF((DelPoint= "4C")*IF((DType = "firm")+(DType = "econ")&gt;0,1,0)*(OFFSET(DelPoint,0,E3+2)&lt;0),OFFSET(DelPoint,0,E3+2),0))</f>
        <v>0</v>
      </c>
      <c r="F11" s="605">
        <f t="array" aca="1" ref="F11" ca="1">SUM(IF((DelPoint= "4C")*IF((DType = "firm")+(DType = "econ")&gt;0,1,0)*(OFFSET(DelPoint,0,F3+2)&lt;0),OFFSET(DelPoint,0,F3+2),0))</f>
        <v>0</v>
      </c>
      <c r="G11" s="605">
        <f t="array" aca="1" ref="G11" ca="1">SUM(IF((DelPoint= "4C")*IF((DType = "firm")+(DType = "econ")&gt;0,1,0)*(OFFSET(DelPoint,0,G3+2)&lt;0),OFFSET(DelPoint,0,G3+2),0))</f>
        <v>0</v>
      </c>
      <c r="H11" s="605">
        <f t="array" aca="1" ref="H11" ca="1">SUM(IF((DelPoint= "4C")*IF((DType = "firm")+(DType = "econ")&gt;0,1,0)*(OFFSET(DelPoint,0,H3+2)&lt;0),OFFSET(DelPoint,0,H3+2),0))</f>
        <v>0</v>
      </c>
      <c r="I11" s="605">
        <f t="array" aca="1" ref="I11" ca="1">SUM(IF((DelPoint= "4C")*IF((DType = "firm")+(DType = "econ")&gt;0,1,0)*(OFFSET(DelPoint,0,I3+2)&lt;0),OFFSET(DelPoint,0,I3+2),0))</f>
        <v>0</v>
      </c>
      <c r="J11" s="605">
        <f t="array" aca="1" ref="J11" ca="1">SUM(IF((DelPoint= "4C")*IF((DType = "firm")+(DType = "econ")&gt;0,1,0)*(OFFSET(DelPoint,0,J3+2)&lt;0),OFFSET(DelPoint,0,J3+2),0))</f>
        <v>0</v>
      </c>
      <c r="K11" s="605">
        <f t="array" aca="1" ref="K11" ca="1">SUM(IF((DelPoint= "4C")*IF((DType = "firm")+(DType = "econ")&gt;0,1,0)*(OFFSET(DelPoint,0,K3+2)&lt;0),OFFSET(DelPoint,0,K3+2),0))</f>
        <v>0</v>
      </c>
      <c r="L11" s="605">
        <f t="array" aca="1" ref="L11" ca="1">SUM(IF((DelPoint= "4C")*IF((DType = "firm")+(DType = "econ")&gt;0,1,0)*(OFFSET(DelPoint,0,L3+2)&lt;0),OFFSET(DelPoint,0,L3+2),0))</f>
        <v>0</v>
      </c>
      <c r="M11" s="605">
        <f t="array" aca="1" ref="M11" ca="1">SUM(IF((DelPoint= "4C")*IF((DType = "firm")+(DType = "econ")&gt;0,1,0)*(OFFSET(DelPoint,0,M3+2)&lt;0),OFFSET(DelPoint,0,M3+2),0))</f>
        <v>0</v>
      </c>
      <c r="N11" s="605">
        <f t="array" aca="1" ref="N11" ca="1">SUM(IF((DelPoint= "4C")*IF((DType = "firm")+(DType = "econ")&gt;0,1,0)*(OFFSET(DelPoint,0,N3+2)&lt;0),OFFSET(DelPoint,0,N3+2),0))</f>
        <v>0</v>
      </c>
      <c r="O11" s="605">
        <f t="array" aca="1" ref="O11" ca="1">SUM(IF((DelPoint= "4C")*IF((DType = "firm")+(DType = "econ")&gt;0,1,0)*(OFFSET(DelPoint,0,O3+2)&lt;0),OFFSET(DelPoint,0,O3+2),0))</f>
        <v>0</v>
      </c>
      <c r="P11" s="605">
        <f t="array" aca="1" ref="P11" ca="1">SUM(IF((DelPoint= "4C")*IF((DType = "firm")+(DType = "econ")&gt;0,1,0)*(OFFSET(DelPoint,0,P3+2)&lt;0),OFFSET(DelPoint,0,P3+2),0))</f>
        <v>0</v>
      </c>
      <c r="Q11" s="605">
        <f t="array" aca="1" ref="Q11" ca="1">SUM(IF((DelPoint= "4C")*IF((DType = "firm")+(DType = "econ")&gt;0,1,0)*(OFFSET(DelPoint,0,Q3+2)&lt;0),OFFSET(DelPoint,0,Q3+2),0))</f>
        <v>0</v>
      </c>
      <c r="R11" s="605">
        <f t="array" aca="1" ref="R11" ca="1">SUM(IF((DelPoint= "4C")*IF((DType = "firm")+(DType = "econ")&gt;0,1,0)*(OFFSET(DelPoint,0,R3+2)&lt;0),OFFSET(DelPoint,0,R3+2),0))</f>
        <v>0</v>
      </c>
      <c r="S11" s="605">
        <f t="array" aca="1" ref="S11" ca="1">SUM(IF((DelPoint= "4C")*IF((DType = "firm")+(DType = "econ")&gt;0,1,0)*(OFFSET(DelPoint,0,S3+2)&lt;0),OFFSET(DelPoint,0,S3+2),0))</f>
        <v>0</v>
      </c>
      <c r="T11" s="605">
        <f t="array" aca="1" ref="T11" ca="1">SUM(IF((DelPoint= "4C")*IF((DType = "firm")+(DType = "econ")&gt;0,1,0)*(OFFSET(DelPoint,0,T3+2)&lt;0),OFFSET(DelPoint,0,T3+2),0))</f>
        <v>0</v>
      </c>
      <c r="U11" s="605">
        <f t="array" aca="1" ref="U11" ca="1">SUM(IF((DelPoint= "4C")*IF((DType = "firm")+(DType = "econ")&gt;0,1,0)*(OFFSET(DelPoint,0,U3+2)&lt;0),OFFSET(DelPoint,0,U3+2),0))</f>
        <v>0</v>
      </c>
      <c r="V11" s="605">
        <f t="array" aca="1" ref="V11" ca="1">SUM(IF((DelPoint= "4C")*IF((DType = "firm")+(DType = "econ")&gt;0,1,0)*(OFFSET(DelPoint,0,V3+2)&lt;0),OFFSET(DelPoint,0,V3+2),0))</f>
        <v>0</v>
      </c>
      <c r="W11" s="605">
        <f t="array" aca="1" ref="W11" ca="1">SUM(IF((DelPoint= "4C")*IF((DType = "firm")+(DType = "econ")&gt;0,1,0)*(OFFSET(DelPoint,0,W3+2)&lt;0),OFFSET(DelPoint,0,W3+2),0))</f>
        <v>0</v>
      </c>
      <c r="X11" s="605">
        <f t="array" aca="1" ref="X11" ca="1">SUM(IF((DelPoint= "4C")*IF((DType = "firm")+(DType = "econ")&gt;0,1,0)*(OFFSET(DelPoint,0,X3+2)&lt;0),OFFSET(DelPoint,0,X3+2),0))</f>
        <v>0</v>
      </c>
      <c r="Y11" s="605">
        <f t="array" aca="1" ref="Y11" ca="1">SUM(IF((DelPoint= "4C")*IF((DType = "firm")+(DType = "econ")&gt;0,1,0)*(OFFSET(DelPoint,0,Y3+2)&lt;0),OFFSET(DelPoint,0,Y3+2),0))</f>
        <v>0</v>
      </c>
      <c r="AA11" s="158"/>
    </row>
    <row r="12" spans="1:30" s="157" customFormat="1" ht="12" x14ac:dyDescent="0.2">
      <c r="A12" s="533" t="s">
        <v>255</v>
      </c>
      <c r="B12" s="614">
        <f>Deals!F121+Deals!F123+Deals!F124+Deals!F125+Deals!F122+Deals!F127+Deals!F126</f>
        <v>0</v>
      </c>
      <c r="C12" s="614">
        <f>Deals!G121+Deals!G123+Deals!G124+Deals!G125+Deals!G122+Deals!G127+Deals!G126</f>
        <v>0</v>
      </c>
      <c r="D12" s="614">
        <f>Deals!H121+Deals!H123+Deals!H124+Deals!H125+Deals!H122+Deals!H127+Deals!H126</f>
        <v>0</v>
      </c>
      <c r="E12" s="614">
        <f>Deals!I121+Deals!I123+Deals!I124+Deals!I125+Deals!I122+Deals!I127+Deals!I126</f>
        <v>0</v>
      </c>
      <c r="F12" s="614">
        <f>Deals!J121+Deals!J123+Deals!J124+Deals!J125+Deals!J122+Deals!J127+Deals!J126</f>
        <v>0</v>
      </c>
      <c r="G12" s="614">
        <f>Deals!K121+Deals!K123+Deals!K124+Deals!K125+Deals!K122+Deals!K127+Deals!K126</f>
        <v>0</v>
      </c>
      <c r="H12" s="614">
        <f>Deals!L121+Deals!L123+Deals!L124+Deals!L125+Deals!L122+Deals!L127+Deals!L126</f>
        <v>-150</v>
      </c>
      <c r="I12" s="614">
        <f>Deals!M121+Deals!M123+Deals!M124+Deals!M125+Deals!M122+Deals!M127+Deals!M126</f>
        <v>-150</v>
      </c>
      <c r="J12" s="614">
        <f>Deals!N121+Deals!N123+Deals!N124+Deals!N125+Deals!N122+Deals!N127+Deals!N126</f>
        <v>-150</v>
      </c>
      <c r="K12" s="614">
        <f>Deals!O121+Deals!O123+Deals!O124+Deals!O125+Deals!O122+Deals!O127+Deals!O126</f>
        <v>-150</v>
      </c>
      <c r="L12" s="614">
        <f>Deals!P121+Deals!P123+Deals!P124+Deals!P125+Deals!P122+Deals!P127+Deals!P126</f>
        <v>-150</v>
      </c>
      <c r="M12" s="614">
        <f>Deals!Q121+Deals!Q123+Deals!Q124+Deals!Q125+Deals!Q122+Deals!Q127+Deals!Q126</f>
        <v>-150</v>
      </c>
      <c r="N12" s="614">
        <f>Deals!R121+Deals!R123+Deals!R124+Deals!R125+Deals!R122+Deals!R127+Deals!R126</f>
        <v>-150</v>
      </c>
      <c r="O12" s="614">
        <f>Deals!S121+Deals!S123+Deals!S124+Deals!S125+Deals!S122+Deals!S127+Deals!S126</f>
        <v>-150</v>
      </c>
      <c r="P12" s="614">
        <f>Deals!T121+Deals!T123+Deals!T124+Deals!T125+Deals!T122+Deals!T127+Deals!T126</f>
        <v>-150</v>
      </c>
      <c r="Q12" s="614">
        <f>Deals!U121+Deals!U123+Deals!U124+Deals!U125+Deals!U122+Deals!U127+Deals!U126</f>
        <v>-150</v>
      </c>
      <c r="R12" s="614">
        <f>Deals!V121+Deals!V123+Deals!V124+Deals!V125+Deals!V122+Deals!V127+Deals!V126</f>
        <v>-150</v>
      </c>
      <c r="S12" s="614">
        <f>Deals!W121+Deals!W123+Deals!W124+Deals!W125+Deals!W122+Deals!W127+Deals!W126</f>
        <v>-150</v>
      </c>
      <c r="T12" s="614">
        <f>Deals!X121+Deals!X123+Deals!X124+Deals!X125+Deals!X122+Deals!X127+Deals!X126</f>
        <v>-150</v>
      </c>
      <c r="U12" s="614">
        <f>Deals!Y121+Deals!Y123+Deals!Y124+Deals!Y125+Deals!Y122+Deals!Y127+Deals!Y126</f>
        <v>-150</v>
      </c>
      <c r="V12" s="614">
        <f>Deals!Z121+Deals!Z123+Deals!Z124+Deals!Z125+Deals!Z122+Deals!Z127+Deals!Z126</f>
        <v>-150</v>
      </c>
      <c r="W12" s="614">
        <f>Deals!AA121+Deals!AA123+Deals!AA124+Deals!AA125+Deals!AA122+Deals!AA127+Deals!AA126</f>
        <v>-150</v>
      </c>
      <c r="X12" s="614">
        <f>Deals!AB121+Deals!AB123+Deals!AB124+Deals!AB125+Deals!AB122+Deals!AB127+Deals!AB126</f>
        <v>0</v>
      </c>
      <c r="Y12" s="614">
        <f>Deals!AC121+Deals!AC123+Deals!AC124+Deals!AC125+Deals!AC122+Deals!AC127+Deals!AC126</f>
        <v>0</v>
      </c>
      <c r="AA12" s="158"/>
    </row>
    <row r="13" spans="1:30" s="157" customFormat="1" ht="12" x14ac:dyDescent="0.2">
      <c r="A13" s="534" t="s">
        <v>31</v>
      </c>
      <c r="B13" s="606"/>
      <c r="C13" s="606"/>
      <c r="D13" s="606"/>
      <c r="E13" s="606"/>
      <c r="F13" s="606"/>
      <c r="G13" s="606"/>
      <c r="H13" s="606"/>
      <c r="I13" s="606"/>
      <c r="J13" s="606"/>
      <c r="K13" s="606"/>
      <c r="L13" s="606"/>
      <c r="M13" s="606"/>
      <c r="N13" s="606"/>
      <c r="O13" s="606"/>
      <c r="P13" s="606"/>
      <c r="Q13" s="606"/>
      <c r="R13" s="606"/>
      <c r="S13" s="606"/>
      <c r="T13" s="606"/>
      <c r="U13" s="606"/>
      <c r="V13" s="606"/>
      <c r="W13" s="606"/>
      <c r="X13" s="606"/>
      <c r="Y13" s="607"/>
      <c r="AA13" s="158"/>
    </row>
    <row r="14" spans="1:30" s="157" customFormat="1" ht="12" x14ac:dyDescent="0.2">
      <c r="A14" s="534" t="s">
        <v>305</v>
      </c>
      <c r="B14" s="614">
        <f>Deals!F16+Deals!F17+Deals!F18+Deals!F19</f>
        <v>-60</v>
      </c>
      <c r="C14" s="614">
        <f>Deals!G16+Deals!G17+Deals!G18+Deals!G19</f>
        <v>-60</v>
      </c>
      <c r="D14" s="614">
        <f>Deals!H16+Deals!H17+Deals!H18+Deals!H19</f>
        <v>-60</v>
      </c>
      <c r="E14" s="614">
        <f>Deals!I16+Deals!I17+Deals!I18+Deals!I19</f>
        <v>-60</v>
      </c>
      <c r="F14" s="614">
        <f>Deals!J16+Deals!J17+Deals!J18+Deals!J19</f>
        <v>-60</v>
      </c>
      <c r="G14" s="614">
        <f>Deals!K16+Deals!K17+Deals!K18+Deals!K19</f>
        <v>-60</v>
      </c>
      <c r="H14" s="614">
        <f>Deals!L16+Deals!L17+Deals!L18+Deals!L19</f>
        <v>-60</v>
      </c>
      <c r="I14" s="614">
        <f>Deals!M16+Deals!M17+Deals!M18+Deals!M19</f>
        <v>-60</v>
      </c>
      <c r="J14" s="614">
        <f>Deals!N16+Deals!N17+Deals!N18+Deals!N19</f>
        <v>-60</v>
      </c>
      <c r="K14" s="614">
        <f>Deals!O16+Deals!O17+Deals!O18+Deals!O19</f>
        <v>-60</v>
      </c>
      <c r="L14" s="614">
        <f>Deals!P16+Deals!P17+Deals!P18+Deals!P19</f>
        <v>-60</v>
      </c>
      <c r="M14" s="614">
        <f>Deals!Q16+Deals!Q17+Deals!Q18+Deals!Q19</f>
        <v>-60</v>
      </c>
      <c r="N14" s="614">
        <f>Deals!R16+Deals!R17+Deals!R18+Deals!R19</f>
        <v>-60</v>
      </c>
      <c r="O14" s="614">
        <f>Deals!S16+Deals!S17+Deals!S18+Deals!S19</f>
        <v>-60</v>
      </c>
      <c r="P14" s="614">
        <f>Deals!T16+Deals!T17+Deals!T18+Deals!T19</f>
        <v>-60</v>
      </c>
      <c r="Q14" s="614">
        <f>Deals!U16+Deals!U17+Deals!U18+Deals!U19</f>
        <v>-60</v>
      </c>
      <c r="R14" s="614">
        <f>Deals!V16+Deals!V17+Deals!V18+Deals!V19</f>
        <v>-60</v>
      </c>
      <c r="S14" s="614">
        <f>Deals!W16+Deals!W17+Deals!W18+Deals!W19</f>
        <v>-60</v>
      </c>
      <c r="T14" s="614">
        <f>Deals!X16+Deals!X17+Deals!X18+Deals!X19</f>
        <v>-60</v>
      </c>
      <c r="U14" s="614">
        <f>Deals!Y16+Deals!Y17+Deals!Y18+Deals!Y19</f>
        <v>-60</v>
      </c>
      <c r="V14" s="614">
        <f>Deals!Z16+Deals!Z17+Deals!Z18+Deals!Z19</f>
        <v>-60</v>
      </c>
      <c r="W14" s="614">
        <f>Deals!AA16+Deals!AA17+Deals!AA18+Deals!AA19</f>
        <v>-60</v>
      </c>
      <c r="X14" s="614">
        <f>Deals!AB16+Deals!AB17+Deals!AB18+Deals!AB19</f>
        <v>-60</v>
      </c>
      <c r="Y14" s="663">
        <f>Deals!AC16+Deals!AC17+Deals!AC18+Deals!AC19</f>
        <v>-60</v>
      </c>
      <c r="AA14" s="158"/>
    </row>
    <row r="15" spans="1:30" s="157" customFormat="1" ht="12" x14ac:dyDescent="0.2">
      <c r="A15" s="535" t="s">
        <v>256</v>
      </c>
      <c r="B15" s="608">
        <f t="array" aca="1" ref="B15" ca="1">SUM(IF((DelPoint= "PV")*IF((DType = "firm")+(DType = "econ")&gt;0,1,0)*(OFFSET(DelPoint,0,B3+2)&lt;0),OFFSET(DelPoint,0,B3+2),0))</f>
        <v>0</v>
      </c>
      <c r="C15" s="608">
        <f t="array" aca="1" ref="C15" ca="1">SUM(IF((DelPoint= "PV")*IF((DType = "firm")+(DType = "econ")&gt;0,1,0)*(OFFSET(DelPoint,0,C3+2)&lt;0),OFFSET(DelPoint,0,C3+2),0))</f>
        <v>0</v>
      </c>
      <c r="D15" s="608">
        <f t="array" aca="1" ref="D15" ca="1">SUM(IF((DelPoint= "PV")*IF((DType = "firm")+(DType = "econ")&gt;0,1,0)*(OFFSET(DelPoint,0,D3+2)&lt;0),OFFSET(DelPoint,0,D3+2),0))</f>
        <v>0</v>
      </c>
      <c r="E15" s="608">
        <f t="array" aca="1" ref="E15" ca="1">SUM(IF((DelPoint= "PV")*IF((DType = "firm")+(DType = "econ")&gt;0,1,0)*(OFFSET(DelPoint,0,E3+2)&lt;0),OFFSET(DelPoint,0,E3+2),0))</f>
        <v>0</v>
      </c>
      <c r="F15" s="608">
        <f t="array" aca="1" ref="F15" ca="1">SUM(IF((DelPoint= "PV")*IF((DType = "firm")+(DType = "econ")&gt;0,1,0)*(OFFSET(DelPoint,0,F3+2)&lt;0),OFFSET(DelPoint,0,F3+2),0))</f>
        <v>0</v>
      </c>
      <c r="G15" s="608">
        <f t="array" aca="1" ref="G15" ca="1">SUM(IF((DelPoint= "PV")*IF((DType = "firm")+(DType = "econ")&gt;0,1,0)*(OFFSET(DelPoint,0,G3+2)&lt;0),OFFSET(DelPoint,0,G3+2),0))</f>
        <v>0</v>
      </c>
      <c r="H15" s="608">
        <f t="array" aca="1" ref="H15" ca="1">SUM(IF((DelPoint= "PV")*IF((DType = "firm")+(DType = "econ")&gt;0,1,0)*(OFFSET(DelPoint,0,H3+2)&lt;0),OFFSET(DelPoint,0,H3+2),0))</f>
        <v>0</v>
      </c>
      <c r="I15" s="608">
        <f t="array" aca="1" ref="I15" ca="1">SUM(IF((DelPoint= "PV")*IF((DType = "firm")+(DType = "econ")&gt;0,1,0)*(OFFSET(DelPoint,0,I3+2)&lt;0),OFFSET(DelPoint,0,I3+2),0))</f>
        <v>0</v>
      </c>
      <c r="J15" s="608">
        <f t="array" aca="1" ref="J15" ca="1">SUM(IF((DelPoint= "PV")*IF((DType = "firm")+(DType = "econ")&gt;0,1,0)*(OFFSET(DelPoint,0,J3+2)&lt;0),OFFSET(DelPoint,0,J3+2),0))</f>
        <v>0</v>
      </c>
      <c r="K15" s="608">
        <f t="array" aca="1" ref="K15" ca="1">SUM(IF((DelPoint= "PV")*IF((DType = "firm")+(DType = "econ")&gt;0,1,0)*(OFFSET(DelPoint,0,K3+2)&lt;0),OFFSET(DelPoint,0,K3+2),0))</f>
        <v>0</v>
      </c>
      <c r="L15" s="608">
        <f t="array" aca="1" ref="L15" ca="1">SUM(IF((DelPoint= "PV")*IF((DType = "firm")+(DType = "econ")&gt;0,1,0)*(OFFSET(DelPoint,0,L3+2)&lt;0),OFFSET(DelPoint,0,L3+2),0))</f>
        <v>0</v>
      </c>
      <c r="M15" s="608">
        <f t="array" aca="1" ref="M15" ca="1">SUM(IF((DelPoint= "PV")*IF((DType = "firm")+(DType = "econ")&gt;0,1,0)*(OFFSET(DelPoint,0,M3+2)&lt;0),OFFSET(DelPoint,0,M3+2),0))</f>
        <v>0</v>
      </c>
      <c r="N15" s="608">
        <f t="array" aca="1" ref="N15" ca="1">SUM(IF((DelPoint= "PV")*IF((DType = "firm")+(DType = "econ")&gt;0,1,0)*(OFFSET(DelPoint,0,N3+2)&lt;0),OFFSET(DelPoint,0,N3+2),0))</f>
        <v>0</v>
      </c>
      <c r="O15" s="608">
        <f t="array" aca="1" ref="O15" ca="1">SUM(IF((DelPoint= "PV")*IF((DType = "firm")+(DType = "econ")&gt;0,1,0)*(OFFSET(DelPoint,0,O3+2)&lt;0),OFFSET(DelPoint,0,O3+2),0))</f>
        <v>0</v>
      </c>
      <c r="P15" s="608">
        <f t="array" aca="1" ref="P15" ca="1">SUM(IF((DelPoint= "PV")*IF((DType = "firm")+(DType = "econ")&gt;0,1,0)*(OFFSET(DelPoint,0,P3+2)&lt;0),OFFSET(DelPoint,0,P3+2),0))</f>
        <v>0</v>
      </c>
      <c r="Q15" s="608">
        <f t="array" aca="1" ref="Q15" ca="1">SUM(IF((DelPoint= "PV")*IF((DType = "firm")+(DType = "econ")&gt;0,1,0)*(OFFSET(DelPoint,0,Q3+2)&lt;0),OFFSET(DelPoint,0,Q3+2),0))</f>
        <v>0</v>
      </c>
      <c r="R15" s="608">
        <f t="array" aca="1" ref="R15" ca="1">SUM(IF((DelPoint= "PV")*IF((DType = "firm")+(DType = "econ")&gt;0,1,0)*(OFFSET(DelPoint,0,R3+2)&lt;0),OFFSET(DelPoint,0,R3+2),0))</f>
        <v>-8</v>
      </c>
      <c r="S15" s="608">
        <f t="array" aca="1" ref="S15" ca="1">SUM(IF((DelPoint= "PV")*IF((DType = "firm")+(DType = "econ")&gt;0,1,0)*(OFFSET(DelPoint,0,S3+2)&lt;0),OFFSET(DelPoint,0,S3+2),0))</f>
        <v>0</v>
      </c>
      <c r="T15" s="608">
        <f t="array" aca="1" ref="T15" ca="1">SUM(IF((DelPoint= "PV")*IF((DType = "firm")+(DType = "econ")&gt;0,1,0)*(OFFSET(DelPoint,0,T3+2)&lt;0),OFFSET(DelPoint,0,T3+2),0))</f>
        <v>0</v>
      </c>
      <c r="U15" s="608">
        <f t="array" aca="1" ref="U15" ca="1">SUM(IF((DelPoint= "PV")*IF((DType = "firm")+(DType = "econ")&gt;0,1,0)*(OFFSET(DelPoint,0,U3+2)&lt;0),OFFSET(DelPoint,0,U3+2),0))</f>
        <v>0</v>
      </c>
      <c r="V15" s="608">
        <f t="array" aca="1" ref="V15" ca="1">SUM(IF((DelPoint= "PV")*IF((DType = "firm")+(DType = "econ")&gt;0,1,0)*(OFFSET(DelPoint,0,V3+2)&lt;0),OFFSET(DelPoint,0,V3+2),0))</f>
        <v>0</v>
      </c>
      <c r="W15" s="608">
        <f t="array" aca="1" ref="W15" ca="1">SUM(IF((DelPoint= "PV")*IF((DType = "firm")+(DType = "econ")&gt;0,1,0)*(OFFSET(DelPoint,0,W3+2)&lt;0),OFFSET(DelPoint,0,W3+2),0))</f>
        <v>0</v>
      </c>
      <c r="X15" s="608">
        <f t="array" aca="1" ref="X15" ca="1">SUM(IF((DelPoint= "PV")*IF((DType = "firm")+(DType = "econ")&gt;0,1,0)*(OFFSET(DelPoint,0,X3+2)&lt;0),OFFSET(DelPoint,0,X3+2),0))</f>
        <v>0</v>
      </c>
      <c r="Y15" s="609">
        <f t="array" aca="1" ref="Y15" ca="1">SUM(IF((DelPoint= "PV")*IF((DType = "firm")+(DType = "econ")&gt;0,1,0)*(OFFSET(DelPoint,0,Y3+2)&lt;0),OFFSET(DelPoint,0,Y3+2),0))</f>
        <v>0</v>
      </c>
      <c r="AA15" s="158"/>
    </row>
    <row r="16" spans="1:30" s="157" customFormat="1" ht="12" x14ac:dyDescent="0.2">
      <c r="A16" s="536" t="s">
        <v>259</v>
      </c>
      <c r="B16" s="610">
        <f t="array" aca="1" ref="B16" ca="1">SUM(IF((DelPoint= "hidalgo")*(DType = "pre")*(OFFSET(DelPoint,0,B3+2)&lt;0),OFFSET(DelPoint,0,B3+2),0))</f>
        <v>0</v>
      </c>
      <c r="C16" s="610">
        <f t="array" aca="1" ref="C16" ca="1">SUM(IF((DelPoint= "hidalgo")*(DType = "pre")*(OFFSET(DelPoint,0,C3+2)&lt;0),OFFSET(DelPoint,0,C3+2),0))</f>
        <v>0</v>
      </c>
      <c r="D16" s="610">
        <f t="array" aca="1" ref="D16" ca="1">SUM(IF((DelPoint= "hidalgo")*(DType = "pre")*(OFFSET(DelPoint,0,D3+2)&lt;0),OFFSET(DelPoint,0,D3+2),0))</f>
        <v>0</v>
      </c>
      <c r="E16" s="610">
        <f t="array" aca="1" ref="E16" ca="1">SUM(IF((DelPoint= "hidalgo")*(DType = "pre")*(OFFSET(DelPoint,0,E3+2)&lt;0),OFFSET(DelPoint,0,E3+2),0))</f>
        <v>0</v>
      </c>
      <c r="F16" s="610">
        <f t="array" aca="1" ref="F16" ca="1">SUM(IF((DelPoint= "hidalgo")*(DType = "pre")*(OFFSET(DelPoint,0,F3+2)&lt;0),OFFSET(DelPoint,0,F3+2),0))</f>
        <v>0</v>
      </c>
      <c r="G16" s="610">
        <f t="array" aca="1" ref="G16" ca="1">SUM(IF((DelPoint= "hidalgo")*(DType = "pre")*(OFFSET(DelPoint,0,G3+2)&lt;0),OFFSET(DelPoint,0,G3+2),0))</f>
        <v>0</v>
      </c>
      <c r="H16" s="610">
        <f t="array" aca="1" ref="H16" ca="1">SUM(IF((DelPoint= "hidalgo")*(DType = "pre")*(OFFSET(DelPoint,0,H3+2)&lt;0),OFFSET(DelPoint,0,H3+2),0))</f>
        <v>0</v>
      </c>
      <c r="I16" s="610">
        <f t="array" aca="1" ref="I16" ca="1">SUM(IF((DelPoint= "hidalgo")*(DType = "pre")*(OFFSET(DelPoint,0,I3+2)&lt;0),OFFSET(DelPoint,0,I3+2),0))</f>
        <v>0</v>
      </c>
      <c r="J16" s="610">
        <f t="array" aca="1" ref="J16" ca="1">SUM(IF((DelPoint= "hidalgo")*(DType = "pre")*(OFFSET(DelPoint,0,J3+2)&lt;0),OFFSET(DelPoint,0,J3+2),0))</f>
        <v>0</v>
      </c>
      <c r="K16" s="610">
        <f t="array" aca="1" ref="K16" ca="1">SUM(IF((DelPoint= "hidalgo")*(DType = "pre")*(OFFSET(DelPoint,0,K3+2)&lt;0),OFFSET(DelPoint,0,K3+2),0))</f>
        <v>0</v>
      </c>
      <c r="L16" s="610">
        <f t="array" aca="1" ref="L16" ca="1">SUM(IF((DelPoint= "hidalgo")*(DType = "pre")*(OFFSET(DelPoint,0,L3+2)&lt;0),OFFSET(DelPoint,0,L3+2),0))</f>
        <v>0</v>
      </c>
      <c r="M16" s="610">
        <f t="array" aca="1" ref="M16" ca="1">SUM(IF((DelPoint= "hidalgo")*(DType = "pre")*(OFFSET(DelPoint,0,M3+2)&lt;0),OFFSET(DelPoint,0,M3+2),0))</f>
        <v>0</v>
      </c>
      <c r="N16" s="610">
        <f t="array" aca="1" ref="N16" ca="1">SUM(IF((DelPoint= "hidalgo")*(DType = "pre")*(OFFSET(DelPoint,0,N3+2)&lt;0),OFFSET(DelPoint,0,N3+2),0))</f>
        <v>0</v>
      </c>
      <c r="O16" s="610">
        <f t="array" aca="1" ref="O16" ca="1">SUM(IF((DelPoint= "hidalgo")*(DType = "pre")*(OFFSET(DelPoint,0,O3+2)&lt;0),OFFSET(DelPoint,0,O3+2),0))</f>
        <v>0</v>
      </c>
      <c r="P16" s="610">
        <f t="array" aca="1" ref="P16" ca="1">SUM(IF((DelPoint= "hidalgo")*(DType = "pre")*(OFFSET(DelPoint,0,P3+2)&lt;0),OFFSET(DelPoint,0,P3+2),0))</f>
        <v>0</v>
      </c>
      <c r="Q16" s="610">
        <f t="array" aca="1" ref="Q16" ca="1">SUM(IF((DelPoint= "hidalgo")*(DType = "pre")*(OFFSET(DelPoint,0,Q3+2)&lt;0),OFFSET(DelPoint,0,Q3+2),0))</f>
        <v>0</v>
      </c>
      <c r="R16" s="610">
        <f t="array" aca="1" ref="R16" ca="1">SUM(IF((DelPoint= "hidalgo")*(DType = "pre")*(OFFSET(DelPoint,0,R3+2)&lt;0),OFFSET(DelPoint,0,R3+2),0))</f>
        <v>0</v>
      </c>
      <c r="S16" s="610">
        <f t="array" aca="1" ref="S16" ca="1">SUM(IF((DelPoint= "hidalgo")*(DType = "pre")*(OFFSET(DelPoint,0,S3+2)&lt;0),OFFSET(DelPoint,0,S3+2),0))</f>
        <v>0</v>
      </c>
      <c r="T16" s="610">
        <f t="array" aca="1" ref="T16" ca="1">SUM(IF((DelPoint= "hidalgo")*(DType = "pre")*(OFFSET(DelPoint,0,T3+2)&lt;0),OFFSET(DelPoint,0,T3+2),0))</f>
        <v>0</v>
      </c>
      <c r="U16" s="610">
        <f t="array" aca="1" ref="U16" ca="1">SUM(IF((DelPoint= "hidalgo")*(DType = "pre")*(OFFSET(DelPoint,0,U3+2)&lt;0),OFFSET(DelPoint,0,U3+2),0))</f>
        <v>0</v>
      </c>
      <c r="V16" s="610">
        <f t="array" aca="1" ref="V16" ca="1">SUM(IF((DelPoint= "hidalgo")*(DType = "pre")*(OFFSET(DelPoint,0,V3+2)&lt;0),OFFSET(DelPoint,0,V3+2),0))</f>
        <v>0</v>
      </c>
      <c r="W16" s="610">
        <f t="array" aca="1" ref="W16" ca="1">SUM(IF((DelPoint= "hidalgo")*(DType = "pre")*(OFFSET(DelPoint,0,W3+2)&lt;0),OFFSET(DelPoint,0,W3+2),0))</f>
        <v>0</v>
      </c>
      <c r="X16" s="610">
        <f t="array" aca="1" ref="X16" ca="1">SUM(IF((DelPoint= "hidalgo")*(DType = "pre")*(OFFSET(DelPoint,0,X3+2)&lt;0),OFFSET(DelPoint,0,X3+2),0))</f>
        <v>0</v>
      </c>
      <c r="Y16" s="611">
        <f t="array" aca="1" ref="Y16" ca="1">SUM(IF((DelPoint= "hidalgo")*(DType = "pre")*(OFFSET(DelPoint,0,Y3+2)&lt;0),OFFSET(DelPoint,0,Y3+2),0))</f>
        <v>0</v>
      </c>
      <c r="AA16" s="158"/>
    </row>
    <row r="17" spans="1:27" s="157" customFormat="1" ht="12" x14ac:dyDescent="0.2">
      <c r="A17" s="537" t="s">
        <v>260</v>
      </c>
      <c r="B17" s="612">
        <f t="array" aca="1" ref="B17" ca="1">SUM(IF((DelPoint= "hidalgo")*IF((DType = "firm")+(DType = "econ")&gt;0,1,0)*(OFFSET(DelPoint,0,B3+2)&lt;0),OFFSET(DelPoint,0,B3+2),0))</f>
        <v>0</v>
      </c>
      <c r="C17" s="612">
        <f t="array" aca="1" ref="C17" ca="1">SUM(IF((DelPoint= "hidalgo")*IF((DType = "firm")+(DType = "econ")&gt;0,1,0)*(OFFSET(DelPoint,0,C3+2)&lt;0),OFFSET(DelPoint,0,C3+2),0))</f>
        <v>0</v>
      </c>
      <c r="D17" s="612">
        <f t="array" aca="1" ref="D17" ca="1">SUM(IF((DelPoint= "hidalgo")*IF((DType = "firm")+(DType = "econ")&gt;0,1,0)*(OFFSET(DelPoint,0,D3+2)&lt;0),OFFSET(DelPoint,0,D3+2),0))</f>
        <v>0</v>
      </c>
      <c r="E17" s="612">
        <f t="array" aca="1" ref="E17" ca="1">SUM(IF((DelPoint= "hidalgo")*IF((DType = "firm")+(DType = "econ")&gt;0,1,0)*(OFFSET(DelPoint,0,E3+2)&lt;0),OFFSET(DelPoint,0,E3+2),0))</f>
        <v>0</v>
      </c>
      <c r="F17" s="612">
        <f t="array" aca="1" ref="F17" ca="1">SUM(IF((DelPoint= "hidalgo")*IF((DType = "firm")+(DType = "econ")&gt;0,1,0)*(OFFSET(DelPoint,0,F3+2)&lt;0),OFFSET(DelPoint,0,F3+2),0))</f>
        <v>0</v>
      </c>
      <c r="G17" s="612">
        <f t="array" aca="1" ref="G17" ca="1">SUM(IF((DelPoint= "hidalgo")*IF((DType = "firm")+(DType = "econ")&gt;0,1,0)*(OFFSET(DelPoint,0,G3+2)&lt;0),OFFSET(DelPoint,0,G3+2),0))</f>
        <v>0</v>
      </c>
      <c r="H17" s="612">
        <f t="array" aca="1" ref="H17" ca="1">SUM(IF((DelPoint= "hidalgo")*IF((DType = "firm")+(DType = "econ")&gt;0,1,0)*(OFFSET(DelPoint,0,H3+2)&lt;0),OFFSET(DelPoint,0,H3+2),0))</f>
        <v>0</v>
      </c>
      <c r="I17" s="612">
        <f t="array" aca="1" ref="I17" ca="1">SUM(IF((DelPoint= "hidalgo")*IF((DType = "firm")+(DType = "econ")&gt;0,1,0)*(OFFSET(DelPoint,0,I3+2)&lt;0),OFFSET(DelPoint,0,I3+2),0))</f>
        <v>0</v>
      </c>
      <c r="J17" s="612">
        <f t="array" aca="1" ref="J17" ca="1">SUM(IF((DelPoint= "hidalgo")*IF((DType = "firm")+(DType = "econ")&gt;0,1,0)*(OFFSET(DelPoint,0,J3+2)&lt;0),OFFSET(DelPoint,0,J3+2),0))</f>
        <v>0</v>
      </c>
      <c r="K17" s="612">
        <f t="array" aca="1" ref="K17" ca="1">SUM(IF((DelPoint= "hidalgo")*IF((DType = "firm")+(DType = "econ")&gt;0,1,0)*(OFFSET(DelPoint,0,K3+2)&lt;0),OFFSET(DelPoint,0,K3+2),0))</f>
        <v>0</v>
      </c>
      <c r="L17" s="612">
        <f t="array" aca="1" ref="L17" ca="1">SUM(IF((DelPoint= "hidalgo")*IF((DType = "firm")+(DType = "econ")&gt;0,1,0)*(OFFSET(DelPoint,0,L3+2)&lt;0),OFFSET(DelPoint,0,L3+2),0))</f>
        <v>0</v>
      </c>
      <c r="M17" s="612">
        <f t="array" aca="1" ref="M17" ca="1">SUM(IF((DelPoint= "hidalgo")*IF((DType = "firm")+(DType = "econ")&gt;0,1,0)*(OFFSET(DelPoint,0,M3+2)&lt;0),OFFSET(DelPoint,0,M3+2),0))</f>
        <v>0</v>
      </c>
      <c r="N17" s="612">
        <f t="array" aca="1" ref="N17" ca="1">SUM(IF((DelPoint= "hidalgo")*IF((DType = "firm")+(DType = "econ")&gt;0,1,0)*(OFFSET(DelPoint,0,N3+2)&lt;0),OFFSET(DelPoint,0,N3+2),0))</f>
        <v>0</v>
      </c>
      <c r="O17" s="612">
        <f t="array" aca="1" ref="O17" ca="1">SUM(IF((DelPoint= "hidalgo")*IF((DType = "firm")+(DType = "econ")&gt;0,1,0)*(OFFSET(DelPoint,0,O3+2)&lt;0),OFFSET(DelPoint,0,O3+2),0))</f>
        <v>0</v>
      </c>
      <c r="P17" s="612">
        <f t="array" aca="1" ref="P17" ca="1">SUM(IF((DelPoint= "hidalgo")*IF((DType = "firm")+(DType = "econ")&gt;0,1,0)*(OFFSET(DelPoint,0,P3+2)&lt;0),OFFSET(DelPoint,0,P3+2),0))</f>
        <v>0</v>
      </c>
      <c r="Q17" s="612">
        <f t="array" aca="1" ref="Q17" ca="1">SUM(IF((DelPoint= "hidalgo")*IF((DType = "firm")+(DType = "econ")&gt;0,1,0)*(OFFSET(DelPoint,0,Q3+2)&lt;0),OFFSET(DelPoint,0,Q3+2),0))</f>
        <v>0</v>
      </c>
      <c r="R17" s="612">
        <f t="array" aca="1" ref="R17" ca="1">SUM(IF((DelPoint= "hidalgo")*IF((DType = "firm")+(DType = "econ")&gt;0,1,0)*(OFFSET(DelPoint,0,R3+2)&lt;0),OFFSET(DelPoint,0,R3+2),0))</f>
        <v>0</v>
      </c>
      <c r="S17" s="612">
        <f t="array" aca="1" ref="S17" ca="1">SUM(IF((DelPoint= "hidalgo")*IF((DType = "firm")+(DType = "econ")&gt;0,1,0)*(OFFSET(DelPoint,0,S3+2)&lt;0),OFFSET(DelPoint,0,S3+2),0))</f>
        <v>0</v>
      </c>
      <c r="T17" s="612">
        <f t="array" aca="1" ref="T17" ca="1">SUM(IF((DelPoint= "hidalgo")*IF((DType = "firm")+(DType = "econ")&gt;0,1,0)*(OFFSET(DelPoint,0,T3+2)&lt;0),OFFSET(DelPoint,0,T3+2),0))</f>
        <v>0</v>
      </c>
      <c r="U17" s="612">
        <f t="array" aca="1" ref="U17" ca="1">SUM(IF((DelPoint= "hidalgo")*IF((DType = "firm")+(DType = "econ")&gt;0,1,0)*(OFFSET(DelPoint,0,U3+2)&lt;0),OFFSET(DelPoint,0,U3+2),0))</f>
        <v>0</v>
      </c>
      <c r="V17" s="612"/>
      <c r="W17" s="612">
        <f t="array" aca="1" ref="W17" ca="1">SUM(IF((DelPoint= "hidalgo")*IF((DType = "firm")+(DType = "econ")&gt;0,1,0)*(OFFSET(DelPoint,0,W3+2)&lt;0),OFFSET(DelPoint,0,W3+2),0))</f>
        <v>0</v>
      </c>
      <c r="X17" s="612">
        <f t="array" aca="1" ref="X17" ca="1">SUM(IF((DelPoint= "hidalgo")*IF((DType = "firm")+(DType = "econ")&gt;0,1,0)*(OFFSET(DelPoint,0,X3+2)&lt;0),OFFSET(DelPoint,0,X3+2),0))</f>
        <v>0</v>
      </c>
      <c r="Y17" s="613">
        <f t="array" aca="1" ref="Y17" ca="1">SUM(IF((DelPoint= "hidalgo")*IF((DType = "firm")+(DType = "econ")&gt;0,1,0)*(OFFSET(DelPoint,0,Y3+2)&lt;0),OFFSET(DelPoint,0,Y3+2),0))</f>
        <v>0</v>
      </c>
      <c r="AA17" s="158"/>
    </row>
    <row r="18" spans="1:27" s="157" customFormat="1" ht="12" x14ac:dyDescent="0.2">
      <c r="A18" s="538" t="s">
        <v>277</v>
      </c>
      <c r="B18" s="614">
        <f>Deals!F7+Deals!F8+Deals!F9</f>
        <v>-103</v>
      </c>
      <c r="C18" s="614">
        <f>Deals!G7+Deals!G8+Deals!G9</f>
        <v>-103</v>
      </c>
      <c r="D18" s="614">
        <f>Deals!H7+Deals!H8+Deals!H9</f>
        <v>-103</v>
      </c>
      <c r="E18" s="614">
        <f>Deals!I7+Deals!I8+Deals!I9</f>
        <v>-103</v>
      </c>
      <c r="F18" s="614">
        <f>Deals!J7+Deals!J8+Deals!J9</f>
        <v>-103</v>
      </c>
      <c r="G18" s="614">
        <f>Deals!K7+Deals!K8+Deals!K9</f>
        <v>-103</v>
      </c>
      <c r="H18" s="614">
        <f>Deals!L7+Deals!L8+Deals!L9</f>
        <v>-103</v>
      </c>
      <c r="I18" s="614">
        <f>Deals!M7+Deals!M8+Deals!M9</f>
        <v>-103</v>
      </c>
      <c r="J18" s="614">
        <f>Deals!N7+Deals!N8+Deals!N9</f>
        <v>-103</v>
      </c>
      <c r="K18" s="614">
        <f>Deals!O7+Deals!O8+Deals!O9</f>
        <v>-103</v>
      </c>
      <c r="L18" s="614">
        <f>Deals!P7+Deals!P8+Deals!P9</f>
        <v>-103</v>
      </c>
      <c r="M18" s="614">
        <f>Deals!Q7+Deals!Q8+Deals!Q9</f>
        <v>-103</v>
      </c>
      <c r="N18" s="614">
        <f>Deals!R7+Deals!R8+Deals!R9</f>
        <v>-103</v>
      </c>
      <c r="O18" s="614">
        <f>Deals!S7+Deals!S8+Deals!S9</f>
        <v>-103</v>
      </c>
      <c r="P18" s="614">
        <f>Deals!T7+Deals!T8+Deals!T9</f>
        <v>-103</v>
      </c>
      <c r="Q18" s="614">
        <f>Deals!U7+Deals!U8+Deals!U9</f>
        <v>-103</v>
      </c>
      <c r="R18" s="614">
        <f>Deals!V7+Deals!V8+Deals!V9</f>
        <v>-103</v>
      </c>
      <c r="S18" s="614">
        <f>Deals!W7+Deals!W8+Deals!W9</f>
        <v>-103</v>
      </c>
      <c r="T18" s="614">
        <f>Deals!X7+Deals!X8+Deals!X9</f>
        <v>-103</v>
      </c>
      <c r="U18" s="614">
        <f>Deals!Y7+Deals!Y8+Deals!Y9</f>
        <v>-103</v>
      </c>
      <c r="V18" s="614">
        <f>Deals!Z7+Deals!Z8+Deals!Z9</f>
        <v>-103</v>
      </c>
      <c r="W18" s="614">
        <f>Deals!AA7+Deals!AA8+Deals!AA9</f>
        <v>-103</v>
      </c>
      <c r="X18" s="614">
        <f>Deals!AB7+Deals!AB8+Deals!AB9</f>
        <v>-103</v>
      </c>
      <c r="Y18" s="663">
        <f>Deals!AC7+Deals!AC8+Deals!AC9</f>
        <v>-103</v>
      </c>
      <c r="AA18" s="158"/>
    </row>
    <row r="19" spans="1:27" s="157" customFormat="1" ht="12" x14ac:dyDescent="0.2">
      <c r="A19" s="539" t="s">
        <v>252</v>
      </c>
      <c r="B19" s="615"/>
      <c r="C19" s="616"/>
      <c r="D19" s="616"/>
      <c r="E19" s="616"/>
      <c r="F19" s="616"/>
      <c r="G19" s="616"/>
      <c r="H19" s="616"/>
      <c r="I19" s="616"/>
      <c r="J19" s="616"/>
      <c r="K19" s="615"/>
      <c r="L19" s="615"/>
      <c r="M19" s="615"/>
      <c r="N19" s="615"/>
      <c r="O19" s="615"/>
      <c r="P19" s="615"/>
      <c r="Q19" s="615"/>
      <c r="R19" s="615"/>
      <c r="S19" s="615"/>
      <c r="T19" s="615"/>
      <c r="U19" s="615"/>
      <c r="V19" s="615"/>
      <c r="W19" s="615"/>
      <c r="X19" s="615"/>
      <c r="Y19" s="617"/>
      <c r="AA19" s="158"/>
    </row>
    <row r="20" spans="1:27" s="157" customFormat="1" thickBot="1" x14ac:dyDescent="0.25">
      <c r="A20" s="540" t="s">
        <v>258</v>
      </c>
      <c r="B20" s="615">
        <f t="array" aca="1" ref="B20" ca="1">SUM(IF((DelPoint= "artesia")*IF((DType = "firm")+(DType = "econ")&gt;0,1,0)*(OFFSET(DelPoint,0,B3+2)&lt;0),OFFSET(DelPoint,0,B3+2),0))</f>
        <v>0</v>
      </c>
      <c r="C20" s="615">
        <f t="array" aca="1" ref="C20" ca="1">SUM(IF((DelPoint= "artesia")*IF((DType = "firm")+(DType = "econ")&gt;0,1,0)*(OFFSET(DelPoint,0,C3+2)&lt;0),OFFSET(DelPoint,0,C3+2),0))</f>
        <v>0</v>
      </c>
      <c r="D20" s="615">
        <f t="array" aca="1" ref="D20" ca="1">SUM(IF((DelPoint= "artesia")*IF((DType = "firm")+(DType = "econ")&gt;0,1,0)*(OFFSET(DelPoint,0,D3+2)&lt;0),OFFSET(DelPoint,0,D3+2),0))</f>
        <v>0</v>
      </c>
      <c r="E20" s="615">
        <f t="array" aca="1" ref="E20" ca="1">SUM(IF((DelPoint= "artesia")*IF((DType = "firm")+(DType = "econ")&gt;0,1,0)*(OFFSET(DelPoint,0,E3+2)&lt;0),OFFSET(DelPoint,0,E3+2),0))</f>
        <v>0</v>
      </c>
      <c r="F20" s="615">
        <f t="array" aca="1" ref="F20" ca="1">SUM(IF((DelPoint= "artesia")*IF((DType = "firm")+(DType = "econ")&gt;0,1,0)*(OFFSET(DelPoint,0,F3+2)&lt;0),OFFSET(DelPoint,0,F3+2),0))</f>
        <v>0</v>
      </c>
      <c r="G20" s="615">
        <f t="array" aca="1" ref="G20" ca="1">SUM(IF((DelPoint= "artesia")*IF((DType = "firm")+(DType = "econ")&gt;0,1,0)*(OFFSET(DelPoint,0,G3+2)&lt;0),OFFSET(DelPoint,0,G3+2),0))</f>
        <v>0</v>
      </c>
      <c r="H20" s="615">
        <f t="array" aca="1" ref="H20" ca="1">SUM(IF((DelPoint= "artesia")*IF((DType = "firm")+(DType = "econ")&gt;0,1,0)*(OFFSET(DelPoint,0,H3+2)&lt;0),OFFSET(DelPoint,0,H3+2),0))</f>
        <v>0</v>
      </c>
      <c r="I20" s="615">
        <f t="array" aca="1" ref="I20" ca="1">SUM(IF((DelPoint= "artesia")*IF((DType = "firm")+(DType = "econ")&gt;0,1,0)*(OFFSET(DelPoint,0,I3+2)&lt;0),OFFSET(DelPoint,0,I3+2),0))</f>
        <v>0</v>
      </c>
      <c r="J20" s="615">
        <f t="array" aca="1" ref="J20" ca="1">SUM(IF((DelPoint= "artesia")*IF((DType = "firm")+(DType = "econ")&gt;0,1,0)*(OFFSET(DelPoint,0,J3+2)&lt;0),OFFSET(DelPoint,0,J3+2),0))</f>
        <v>0</v>
      </c>
      <c r="K20" s="615" t="s">
        <v>360</v>
      </c>
      <c r="L20" s="615">
        <f t="array" aca="1" ref="L20" ca="1">SUM(IF((DelPoint= "artesia")*IF((DType = "firm")+(DType = "econ")&gt;0,1,0)*(OFFSET(DelPoint,0,L3+2)&lt;0),OFFSET(DelPoint,0,L3+2),0))</f>
        <v>0</v>
      </c>
      <c r="M20" s="615">
        <f t="array" aca="1" ref="M20" ca="1">SUM(IF((DelPoint= "artesia")*IF((DType = "firm")+(DType = "econ")&gt;0,1,0)*(OFFSET(DelPoint,0,M3+2)&lt;0),OFFSET(DelPoint,0,M3+2),0))</f>
        <v>0</v>
      </c>
      <c r="N20" s="615">
        <f t="array" aca="1" ref="N20" ca="1">SUM(IF((DelPoint= "artesia")*IF((DType = "firm")+(DType = "econ")&gt;0,1,0)*(OFFSET(DelPoint,0,N3+2)&lt;0),OFFSET(DelPoint,0,N3+2),0))</f>
        <v>0</v>
      </c>
      <c r="O20" s="615"/>
      <c r="P20" s="615"/>
      <c r="Q20" s="615"/>
      <c r="R20" s="615">
        <f t="array" aca="1" ref="R20" ca="1">SUM(IF((DelPoint= "artesia")*IF((DType = "firm")+(DType = "econ")&gt;0,1,0)*(OFFSET(DelPoint,0,R3+2)&lt;0),OFFSET(DelPoint,0,R3+2),0))</f>
        <v>0</v>
      </c>
      <c r="S20" s="615">
        <f t="array" aca="1" ref="S20" ca="1">SUM(IF((DelPoint= "artesia")*IF((DType = "firm")+(DType = "econ")&gt;0,1,0)*(OFFSET(DelPoint,0,S3+2)&lt;0),OFFSET(DelPoint,0,S3+2),0))</f>
        <v>0</v>
      </c>
      <c r="T20" s="615">
        <f t="array" aca="1" ref="T20" ca="1">SUM(IF((DelPoint= "artesia")*IF((DType = "firm")+(DType = "econ")&gt;0,1,0)*(OFFSET(DelPoint,0,T3+2)&lt;0),OFFSET(DelPoint,0,T3+2),0))</f>
        <v>0</v>
      </c>
      <c r="U20" s="615">
        <f t="array" aca="1" ref="U20" ca="1">SUM(IF((DelPoint= "artesia")*IF((DType = "firm")+(DType = "econ")&gt;0,1,0)*(OFFSET(DelPoint,0,U3+2)&lt;0),OFFSET(DelPoint,0,U3+2),0))</f>
        <v>0</v>
      </c>
      <c r="V20" s="615">
        <f t="array" aca="1" ref="V20" ca="1">SUM(IF((DelPoint= "artesia")*IF((DType = "firm")+(DType = "econ")&gt;0,1,0)*(OFFSET(DelPoint,0,V3+2)&lt;0),OFFSET(DelPoint,0,V3+2),0))</f>
        <v>0</v>
      </c>
      <c r="W20" s="615">
        <f t="array" aca="1" ref="W20" ca="1">SUM(IF((DelPoint= "artesia")*IF((DType = "firm")+(DType = "econ")&gt;0,1,0)*(OFFSET(DelPoint,0,W3+2)&lt;0),OFFSET(DelPoint,0,W3+2),0))</f>
        <v>0</v>
      </c>
      <c r="X20" s="615">
        <f t="array" aca="1" ref="X20" ca="1">SUM(IF((DelPoint= "artesia")*IF((DType = "firm")+(DType = "econ")&gt;0,1,0)*(OFFSET(DelPoint,0,X3+2)&lt;0),OFFSET(DelPoint,0,X3+2),0))</f>
        <v>0</v>
      </c>
      <c r="Y20" s="617">
        <f t="array" aca="1" ref="Y20" ca="1">SUM(IF((DelPoint= "artesia")*IF((DType = "firm")+(DType = "econ")&gt;0,1,0)*(OFFSET(DelPoint,0,Y3+2)&lt;0),OFFSET(DelPoint,0,Y3+2),0))</f>
        <v>0</v>
      </c>
      <c r="AA20" s="158"/>
    </row>
    <row r="21" spans="1:27" s="157" customFormat="1" ht="12" x14ac:dyDescent="0.2">
      <c r="A21" s="484" t="s">
        <v>34</v>
      </c>
      <c r="B21" s="618"/>
      <c r="C21" s="619"/>
      <c r="D21" s="619"/>
      <c r="E21" s="619"/>
      <c r="F21" s="619"/>
      <c r="G21" s="619"/>
      <c r="H21" s="619"/>
      <c r="I21" s="619"/>
      <c r="J21" s="619"/>
      <c r="K21" s="619"/>
      <c r="L21" s="619"/>
      <c r="M21" s="619"/>
      <c r="N21" s="619"/>
      <c r="O21" s="619"/>
      <c r="P21" s="619"/>
      <c r="Q21" s="619"/>
      <c r="R21" s="619"/>
      <c r="S21" s="619"/>
      <c r="T21" s="619"/>
      <c r="U21" s="619"/>
      <c r="V21" s="619"/>
      <c r="W21" s="619"/>
      <c r="X21" s="619"/>
      <c r="Y21" s="620"/>
      <c r="AA21" s="158"/>
    </row>
    <row r="22" spans="1:27" s="157" customFormat="1" ht="12" x14ac:dyDescent="0.2">
      <c r="A22" s="461" t="s">
        <v>121</v>
      </c>
      <c r="B22" s="621">
        <f>Deals!F3</f>
        <v>60</v>
      </c>
      <c r="C22" s="621">
        <f>Deals!G3</f>
        <v>50</v>
      </c>
      <c r="D22" s="621">
        <f>Deals!H3</f>
        <v>50</v>
      </c>
      <c r="E22" s="621">
        <f>Deals!I3</f>
        <v>50</v>
      </c>
      <c r="F22" s="621">
        <f>Deals!J3</f>
        <v>50</v>
      </c>
      <c r="G22" s="621">
        <f>Deals!K3</f>
        <v>50</v>
      </c>
      <c r="H22" s="621">
        <f>Deals!L3</f>
        <v>0</v>
      </c>
      <c r="I22" s="621">
        <f>Deals!M3</f>
        <v>0</v>
      </c>
      <c r="J22" s="621">
        <f>Deals!N3</f>
        <v>10</v>
      </c>
      <c r="K22" s="621">
        <f>Deals!O3</f>
        <v>40</v>
      </c>
      <c r="L22" s="621">
        <f>Deals!P3</f>
        <v>80</v>
      </c>
      <c r="M22" s="621">
        <f>Deals!Q3</f>
        <v>110</v>
      </c>
      <c r="N22" s="621">
        <f>Deals!R3</f>
        <v>130</v>
      </c>
      <c r="O22" s="621">
        <f>Deals!S3</f>
        <v>150</v>
      </c>
      <c r="P22" s="621">
        <f>Deals!T3</f>
        <v>150</v>
      </c>
      <c r="Q22" s="621">
        <f>Deals!U3</f>
        <v>150</v>
      </c>
      <c r="R22" s="621">
        <f>Deals!V3</f>
        <v>150</v>
      </c>
      <c r="S22" s="621">
        <f>Deals!W3</f>
        <v>150</v>
      </c>
      <c r="T22" s="621">
        <f>Deals!X3</f>
        <v>150</v>
      </c>
      <c r="U22" s="621">
        <f>Deals!Y3</f>
        <v>130</v>
      </c>
      <c r="V22" s="621">
        <f>Deals!Z3</f>
        <v>110</v>
      </c>
      <c r="W22" s="621">
        <f>Deals!AA3</f>
        <v>100</v>
      </c>
      <c r="X22" s="621">
        <f>Deals!AB3</f>
        <v>150</v>
      </c>
      <c r="Y22" s="622">
        <f>Deals!AC3</f>
        <v>115</v>
      </c>
      <c r="AA22" s="158"/>
    </row>
    <row r="23" spans="1:27" s="157" customFormat="1" ht="12" x14ac:dyDescent="0.2">
      <c r="A23" s="462" t="s">
        <v>307</v>
      </c>
      <c r="B23" s="623">
        <f>Deals!F5</f>
        <v>1</v>
      </c>
      <c r="C23" s="623">
        <f>Deals!G5</f>
        <v>1</v>
      </c>
      <c r="D23" s="623">
        <f>Deals!H5</f>
        <v>1</v>
      </c>
      <c r="E23" s="623">
        <f>Deals!I5</f>
        <v>1</v>
      </c>
      <c r="F23" s="623">
        <f>Deals!J5</f>
        <v>1</v>
      </c>
      <c r="G23" s="623">
        <f>Deals!K5</f>
        <v>1</v>
      </c>
      <c r="H23" s="623">
        <f>Deals!L5</f>
        <v>1</v>
      </c>
      <c r="I23" s="623">
        <f>Deals!M5</f>
        <v>1</v>
      </c>
      <c r="J23" s="623">
        <f>Deals!N5</f>
        <v>1</v>
      </c>
      <c r="K23" s="623">
        <f>Deals!O5</f>
        <v>16</v>
      </c>
      <c r="L23" s="623">
        <f>Deals!P5</f>
        <v>16</v>
      </c>
      <c r="M23" s="623">
        <f>Deals!Q5</f>
        <v>16</v>
      </c>
      <c r="N23" s="623">
        <f>Deals!R5</f>
        <v>16</v>
      </c>
      <c r="O23" s="623">
        <f>Deals!S5</f>
        <v>16</v>
      </c>
      <c r="P23" s="623">
        <f>Deals!T5</f>
        <v>16</v>
      </c>
      <c r="Q23" s="623">
        <f>Deals!U5</f>
        <v>16</v>
      </c>
      <c r="R23" s="623">
        <f>Deals!V5</f>
        <v>16</v>
      </c>
      <c r="S23" s="623">
        <f>Deals!W5</f>
        <v>16</v>
      </c>
      <c r="T23" s="623">
        <f>Deals!X5</f>
        <v>16</v>
      </c>
      <c r="U23" s="623">
        <f>Deals!Y5</f>
        <v>16</v>
      </c>
      <c r="V23" s="623">
        <f>Deals!Z5</f>
        <v>16</v>
      </c>
      <c r="W23" s="623">
        <f>Deals!AA5</f>
        <v>16</v>
      </c>
      <c r="X23" s="623">
        <f>Deals!AB5</f>
        <v>16</v>
      </c>
      <c r="Y23" s="624">
        <f>Deals!AC5</f>
        <v>1</v>
      </c>
      <c r="AA23" s="158"/>
    </row>
    <row r="24" spans="1:27" s="157" customFormat="1" ht="12" x14ac:dyDescent="0.2">
      <c r="A24" s="463" t="s">
        <v>35</v>
      </c>
      <c r="B24" s="625"/>
      <c r="C24" s="626"/>
      <c r="D24" s="626"/>
      <c r="E24" s="626"/>
      <c r="F24" s="626"/>
      <c r="G24" s="626"/>
      <c r="H24" s="626"/>
      <c r="I24" s="626"/>
      <c r="J24" s="626"/>
      <c r="K24" s="626"/>
      <c r="L24" s="626"/>
      <c r="M24" s="626"/>
      <c r="N24" s="626"/>
      <c r="O24" s="626" t="s">
        <v>170</v>
      </c>
      <c r="P24" s="626"/>
      <c r="Q24" s="626"/>
      <c r="R24" s="626"/>
      <c r="S24" s="626"/>
      <c r="T24" s="626"/>
      <c r="U24" s="626"/>
      <c r="V24" s="626"/>
      <c r="W24" s="626"/>
      <c r="X24" s="626"/>
      <c r="Y24" s="627"/>
      <c r="AA24" s="159"/>
    </row>
    <row r="25" spans="1:27" s="157" customFormat="1" ht="12" x14ac:dyDescent="0.2">
      <c r="A25" s="456" t="s">
        <v>115</v>
      </c>
      <c r="B25" s="628"/>
      <c r="C25" s="628"/>
      <c r="D25" s="628"/>
      <c r="E25" s="628"/>
      <c r="F25" s="628"/>
      <c r="G25" s="628"/>
      <c r="H25" s="628"/>
      <c r="I25" s="628"/>
      <c r="J25" s="628"/>
      <c r="K25" s="628"/>
      <c r="L25" s="628"/>
      <c r="M25" s="628"/>
      <c r="N25" s="628"/>
      <c r="O25" s="628"/>
      <c r="P25" s="628"/>
      <c r="Q25" s="628"/>
      <c r="R25" s="628"/>
      <c r="S25" s="628"/>
      <c r="T25" s="628"/>
      <c r="U25" s="628"/>
      <c r="V25" s="628"/>
      <c r="W25" s="628"/>
      <c r="X25" s="628"/>
      <c r="Y25" s="664"/>
      <c r="AA25" s="158"/>
    </row>
    <row r="26" spans="1:27" s="157" customFormat="1" ht="12" x14ac:dyDescent="0.2">
      <c r="A26" s="456" t="s">
        <v>116</v>
      </c>
      <c r="B26" s="629">
        <f ca="1">SUMIF(OFFSET(CBalancingVol,B$3,0),"&gt;0")</f>
        <v>0</v>
      </c>
      <c r="C26" s="630">
        <f t="shared" ref="C26:Y26" ca="1" si="1">SUMIF(OFFSET(CBalancingVol,C$3,0),"&gt;0")</f>
        <v>0</v>
      </c>
      <c r="D26" s="630">
        <f t="shared" ca="1" si="1"/>
        <v>0</v>
      </c>
      <c r="E26" s="630">
        <f t="shared" ca="1" si="1"/>
        <v>0</v>
      </c>
      <c r="F26" s="630">
        <f t="shared" ca="1" si="1"/>
        <v>0</v>
      </c>
      <c r="G26" s="630">
        <f t="shared" ca="1" si="1"/>
        <v>0</v>
      </c>
      <c r="H26" s="630">
        <f t="shared" ca="1" si="1"/>
        <v>0</v>
      </c>
      <c r="I26" s="630">
        <f t="shared" ca="1" si="1"/>
        <v>0</v>
      </c>
      <c r="J26" s="630">
        <v>0</v>
      </c>
      <c r="K26" s="630">
        <f t="shared" ca="1" si="1"/>
        <v>0</v>
      </c>
      <c r="L26" s="630">
        <f t="shared" ca="1" si="1"/>
        <v>0</v>
      </c>
      <c r="M26" s="630">
        <f t="shared" ca="1" si="1"/>
        <v>0</v>
      </c>
      <c r="N26" s="630">
        <f t="shared" ca="1" si="1"/>
        <v>0</v>
      </c>
      <c r="O26" s="630">
        <f t="shared" ca="1" si="1"/>
        <v>0</v>
      </c>
      <c r="P26" s="630">
        <f t="shared" ca="1" si="1"/>
        <v>0</v>
      </c>
      <c r="Q26" s="630">
        <f t="shared" ca="1" si="1"/>
        <v>0</v>
      </c>
      <c r="R26" s="630">
        <f t="shared" ca="1" si="1"/>
        <v>0</v>
      </c>
      <c r="S26" s="630">
        <f t="shared" ca="1" si="1"/>
        <v>0</v>
      </c>
      <c r="T26" s="630">
        <f t="shared" ca="1" si="1"/>
        <v>0</v>
      </c>
      <c r="U26" s="630">
        <f t="shared" ca="1" si="1"/>
        <v>0</v>
      </c>
      <c r="V26" s="630">
        <f t="shared" ca="1" si="1"/>
        <v>0</v>
      </c>
      <c r="W26" s="630">
        <f t="shared" ca="1" si="1"/>
        <v>0</v>
      </c>
      <c r="X26" s="630">
        <f t="shared" ca="1" si="1"/>
        <v>0</v>
      </c>
      <c r="Y26" s="631">
        <f t="shared" ca="1" si="1"/>
        <v>0</v>
      </c>
      <c r="AA26" s="158"/>
    </row>
    <row r="27" spans="1:27" s="157" customFormat="1" ht="12" x14ac:dyDescent="0.2">
      <c r="A27" s="542" t="s">
        <v>359</v>
      </c>
      <c r="B27" s="623">
        <f>Deals!F15</f>
        <v>60</v>
      </c>
      <c r="C27" s="623">
        <f>Deals!G15</f>
        <v>60</v>
      </c>
      <c r="D27" s="623">
        <f>Deals!H15</f>
        <v>60</v>
      </c>
      <c r="E27" s="623">
        <f>Deals!I15</f>
        <v>60</v>
      </c>
      <c r="F27" s="623">
        <f>Deals!J15</f>
        <v>60</v>
      </c>
      <c r="G27" s="623">
        <f>Deals!K15</f>
        <v>60</v>
      </c>
      <c r="H27" s="623">
        <f>Deals!L15</f>
        <v>60</v>
      </c>
      <c r="I27" s="623">
        <f>Deals!M15</f>
        <v>60</v>
      </c>
      <c r="J27" s="623">
        <f>Deals!N15</f>
        <v>60</v>
      </c>
      <c r="K27" s="623">
        <f>Deals!O15</f>
        <v>60</v>
      </c>
      <c r="L27" s="623">
        <f>Deals!P15</f>
        <v>60</v>
      </c>
      <c r="M27" s="623">
        <f>Deals!Q15</f>
        <v>60</v>
      </c>
      <c r="N27" s="623">
        <f>Deals!R15</f>
        <v>60</v>
      </c>
      <c r="O27" s="623">
        <f>Deals!S15</f>
        <v>60</v>
      </c>
      <c r="P27" s="623">
        <f>Deals!T15</f>
        <v>60</v>
      </c>
      <c r="Q27" s="623">
        <f>Deals!U15</f>
        <v>60</v>
      </c>
      <c r="R27" s="623">
        <f>Deals!V15</f>
        <v>60</v>
      </c>
      <c r="S27" s="623">
        <f>Deals!W15</f>
        <v>60</v>
      </c>
      <c r="T27" s="623">
        <f>Deals!X15</f>
        <v>60</v>
      </c>
      <c r="U27" s="623">
        <f>Deals!Y15</f>
        <v>60</v>
      </c>
      <c r="V27" s="623">
        <f>Deals!Z15</f>
        <v>60</v>
      </c>
      <c r="W27" s="623">
        <f>Deals!AA15</f>
        <v>60</v>
      </c>
      <c r="X27" s="623">
        <f>Deals!AB15</f>
        <v>60</v>
      </c>
      <c r="Y27" s="624">
        <f>Deals!AC15</f>
        <v>60</v>
      </c>
      <c r="AA27" s="158"/>
    </row>
    <row r="28" spans="1:27" s="157" customFormat="1" thickBot="1" x14ac:dyDescent="0.25">
      <c r="A28" s="558" t="s">
        <v>117</v>
      </c>
      <c r="B28" s="632">
        <f t="array" aca="1" ref="B28" ca="1">SUM(IF((DelPoint= "4C")*IF((DType = "firm")+(DType = "econ")&gt;0,1,0)*(OFFSET(DelPoint,0,B3+2)&gt;0),OFFSET(DelPoint,0,B3+2),0))</f>
        <v>0</v>
      </c>
      <c r="C28" s="633">
        <f t="array" aca="1" ref="C28" ca="1">SUM(IF((DelPoint= "4C")*IF((DType = "firm")+(DType = "econ")&gt;0,1,0)*(OFFSET(DelPoint,0,C3+2)&gt;0),OFFSET(DelPoint,0,C3+2),0))</f>
        <v>0</v>
      </c>
      <c r="D28" s="632">
        <f t="array" aca="1" ref="D28" ca="1">SUM(IF((DelPoint= "4C")*IF((DType = "firm")+(DType = "econ")&gt;0,1,0)*(OFFSET(DelPoint,0,D3+2)&gt;0),OFFSET(DelPoint,0,D3+2),0))</f>
        <v>0</v>
      </c>
      <c r="E28" s="632">
        <f t="array" aca="1" ref="E28" ca="1">SUM(IF((DelPoint= "4C")*IF((DType = "firm")+(DType = "econ")&gt;0,1,0)*(OFFSET(DelPoint,0,E3+2)&gt;0),OFFSET(DelPoint,0,E3+2),0))</f>
        <v>0</v>
      </c>
      <c r="F28" s="632">
        <f t="array" aca="1" ref="F28" ca="1">SUM(IF((DelPoint= "4C")*IF((DType = "firm")+(DType = "econ")&gt;0,1,0)*(OFFSET(DelPoint,0,F3+2)&gt;0),OFFSET(DelPoint,0,F3+2),0))</f>
        <v>0</v>
      </c>
      <c r="G28" s="632">
        <f t="array" aca="1" ref="G28" ca="1">SUM(IF((DelPoint= "4C")*IF((DType = "firm")+(DType = "econ")&gt;0,1,0)*(OFFSET(DelPoint,0,G3+2)&gt;0),OFFSET(DelPoint,0,G3+2),0))</f>
        <v>0</v>
      </c>
      <c r="H28" s="632">
        <f t="array" aca="1" ref="H28" ca="1">SUM(IF((DelPoint= "4C")*IF((DType = "firm")+(DType = "econ")&gt;0,1,0)*(OFFSET(DelPoint,0,H3+2)&gt;0),OFFSET(DelPoint,0,H3+2),0))</f>
        <v>0</v>
      </c>
      <c r="I28" s="632">
        <f t="array" aca="1" ref="I28" ca="1">SUM(IF((DelPoint= "4C")*IF((DType = "firm")+(DType = "econ")&gt;0,1,0)*(OFFSET(DelPoint,0,I3+2)&gt;0),OFFSET(DelPoint,0,I3+2),0))</f>
        <v>56</v>
      </c>
      <c r="J28" s="632">
        <f t="array" aca="1" ref="J28" ca="1">SUM(IF((DelPoint= "4C")*IF((DType = "firm")+(DType = "econ")&gt;0,1,0)*(OFFSET(DelPoint,0,J3+2)&gt;0),OFFSET(DelPoint,0,J3+2),0))</f>
        <v>85</v>
      </c>
      <c r="K28" s="632">
        <f t="array" aca="1" ref="K28" ca="1">SUM(IF((DelPoint= "4C")*IF((DType = "firm")+(DType = "econ")&gt;0,1,0)*(OFFSET(DelPoint,0,K3+2)&gt;0),OFFSET(DelPoint,0,K3+2),0))</f>
        <v>80</v>
      </c>
      <c r="L28" s="632">
        <f t="array" aca="1" ref="L28" ca="1">SUM(IF((DelPoint= "4C")*IF((DType = "firm")+(DType = "econ")&gt;0,1,0)*(OFFSET(DelPoint,0,L3+2)&gt;0),OFFSET(DelPoint,0,L3+2),0))</f>
        <v>80</v>
      </c>
      <c r="M28" s="632">
        <f t="array" aca="1" ref="M28" ca="1">SUM(IF((DelPoint= "4C")*IF((DType = "firm")+(DType = "econ")&gt;0,1,0)*(OFFSET(DelPoint,0,M3+2)&gt;0),OFFSET(DelPoint,0,M3+2),0))</f>
        <v>80</v>
      </c>
      <c r="N28" s="632">
        <f t="array" aca="1" ref="N28" ca="1">SUM(IF((DelPoint= "4C")*IF((DType = "firm")+(DType = "econ")&gt;0,1,0)*(OFFSET(DelPoint,0,N3+2)&gt;0),OFFSET(DelPoint,0,N3+2),0))</f>
        <v>110</v>
      </c>
      <c r="O28" s="632">
        <f t="array" aca="1" ref="O28" ca="1">SUM(IF((DelPoint= "4C")*IF((DType = "firm")+(DType = "econ")&gt;0,1,0)*(OFFSET(DelPoint,0,O3+2)&gt;0),OFFSET(DelPoint,0,O3+2),0))</f>
        <v>90</v>
      </c>
      <c r="P28" s="632">
        <f t="array" aca="1" ref="P28" ca="1">SUM(IF((DelPoint= "4C")*IF((DType = "firm")+(DType = "econ")&gt;0,1,0)*(OFFSET(DelPoint,0,P3+2)&gt;0),OFFSET(DelPoint,0,P3+2),0))</f>
        <v>60</v>
      </c>
      <c r="Q28" s="632">
        <f t="array" aca="1" ref="Q28" ca="1">SUM(IF((DelPoint= "4C")*IF((DType = "firm")+(DType = "econ")&gt;0,1,0)*(OFFSET(DelPoint,0,Q3+2)&gt;0),OFFSET(DelPoint,0,Q3+2),0))</f>
        <v>70</v>
      </c>
      <c r="R28" s="632">
        <f t="array" aca="1" ref="R28" ca="1">SUM(IF((DelPoint= "4C")*IF((DType = "firm")+(DType = "econ")&gt;0,1,0)*(OFFSET(DelPoint,0,R3+2)&gt;0),OFFSET(DelPoint,0,R3+2),0))</f>
        <v>110</v>
      </c>
      <c r="S28" s="632">
        <f t="array" aca="1" ref="S28" ca="1">SUM(IF((DelPoint= "4C")*IF((DType = "firm")+(DType = "econ")&gt;0,1,0)*(OFFSET(DelPoint,0,S3+2)&gt;0),OFFSET(DelPoint,0,S3+2),0))</f>
        <v>150</v>
      </c>
      <c r="T28" s="632">
        <f t="array" aca="1" ref="T28" ca="1">SUM(IF((DelPoint= "4C")*IF((DType = "firm")+(DType = "econ")&gt;0,1,0)*(OFFSET(DelPoint,0,T3+2)&gt;0),OFFSET(DelPoint,0,T3+2),0))</f>
        <v>60</v>
      </c>
      <c r="U28" s="632">
        <f t="array" aca="1" ref="U28" ca="1">SUM(IF((DelPoint= "4C")*IF((DType = "firm")+(DType = "econ")&gt;0,1,0)*(OFFSET(DelPoint,0,U3+2)&gt;0),OFFSET(DelPoint,0,U3+2),0))</f>
        <v>10</v>
      </c>
      <c r="V28" s="632">
        <f t="array" aca="1" ref="V28" ca="1">SUM(IF((DelPoint= "4C")*IF((DType = "firm")+(DType = "econ")&gt;0,1,0)*(OFFSET(DelPoint,0,V3+2)&gt;0),OFFSET(DelPoint,0,V3+2),0))</f>
        <v>60</v>
      </c>
      <c r="W28" s="632">
        <f t="array" aca="1" ref="W28" ca="1">SUM(IF((DelPoint= "4C")*IF((DType = "firm")+(DType = "econ")&gt;0,1,0)*(OFFSET(DelPoint,0,W3+2)&gt;0),OFFSET(DelPoint,0,W3+2),0))</f>
        <v>69</v>
      </c>
      <c r="X28" s="632">
        <f t="array" aca="1" ref="X28" ca="1">SUM(IF((DelPoint= "4C")*IF((DType = "firm")+(DType = "econ")&gt;0,1,0)*(OFFSET(DelPoint,0,X3+2)&gt;0),OFFSET(DelPoint,0,X3+2),0))</f>
        <v>0</v>
      </c>
      <c r="Y28" s="634">
        <f t="array" aca="1" ref="Y28" ca="1">SUM(IF((DelPoint= "4C")*IF((DType = "firm")+(DType = "econ")&gt;0,1,0)*(OFFSET(DelPoint,0,Y3+2)&gt;0),OFFSET(DelPoint,0,Y3+2),0))</f>
        <v>15</v>
      </c>
      <c r="AA28" s="158"/>
    </row>
    <row r="29" spans="1:27" s="157" customFormat="1" ht="12" x14ac:dyDescent="0.2">
      <c r="A29" s="557" t="s">
        <v>118</v>
      </c>
      <c r="B29" s="635">
        <f t="array" aca="1" ref="B29" ca="1">SUM(IF((DelPoint= "PV")*(DType = "pre")*(OFFSET(DelPoint,0,B3+2)&gt;0),OFFSET(DelPoint,0,B3+2),0))</f>
        <v>30</v>
      </c>
      <c r="C29" s="636">
        <f t="array" aca="1" ref="C29" ca="1">SUM(IF((DelPoint= "PV")*(DType = "pre")*(OFFSET(DelPoint,0,C3+2)&gt;0),OFFSET(DelPoint,0,C3+2),0))</f>
        <v>30</v>
      </c>
      <c r="D29" s="636">
        <f t="array" aca="1" ref="D29" ca="1">SUM(IF((DelPoint= "PV")*(DType = "pre")*(OFFSET(DelPoint,0,D3+2)&gt;0),OFFSET(DelPoint,0,D3+2),0))</f>
        <v>30</v>
      </c>
      <c r="E29" s="635">
        <f t="array" aca="1" ref="E29" ca="1">SUM(IF((DelPoint= "PV")*(DType = "pre")*(OFFSET(DelPoint,0,E3+2)&gt;0),OFFSET(DelPoint,0,E3+2),0))</f>
        <v>30</v>
      </c>
      <c r="F29" s="635">
        <f t="array" aca="1" ref="F29" ca="1">SUM(IF((DelPoint= "PV")*(DType = "pre")*(OFFSET(DelPoint,0,F3+2)&gt;0),OFFSET(DelPoint,0,F3+2),0))</f>
        <v>30</v>
      </c>
      <c r="G29" s="635">
        <f t="array" aca="1" ref="G29" ca="1">SUM(IF((DelPoint= "PV")*(DType = "pre")*(OFFSET(DelPoint,0,G3+2)&gt;0),OFFSET(DelPoint,0,G3+2),0))</f>
        <v>30</v>
      </c>
      <c r="H29" s="635">
        <f t="array" aca="1" ref="H29" ca="1">SUM(IF((DelPoint= "PV")*(DType = "pre")*(OFFSET(DelPoint,0,H3+2)&gt;0),OFFSET(DelPoint,0,H3+2),0))</f>
        <v>40</v>
      </c>
      <c r="I29" s="635">
        <f t="array" aca="1" ref="I29" ca="1">SUM(IF((DelPoint= "PV")*(DType = "pre")*(OFFSET(DelPoint,0,I3+2)&gt;0),OFFSET(DelPoint,0,I3+2),0))</f>
        <v>40</v>
      </c>
      <c r="J29" s="635">
        <f t="array" aca="1" ref="J29" ca="1">SUM(IF((DelPoint= "PV")*(DType = "pre")*(OFFSET(DelPoint,0,J3+2)&gt;0),OFFSET(DelPoint,0,J3+2),0))</f>
        <v>40</v>
      </c>
      <c r="K29" s="635">
        <f t="array" aca="1" ref="K29" ca="1">SUM(IF((DelPoint= "PV")*(DType = "pre")*(OFFSET(DelPoint,0,K3+2)&gt;0),OFFSET(DelPoint,0,K3+2),0))</f>
        <v>40</v>
      </c>
      <c r="L29" s="635">
        <f t="array" aca="1" ref="L29" ca="1">SUM(IF((DelPoint= "PV")*(DType = "pre")*(OFFSET(DelPoint,0,L3+2)&gt;0),OFFSET(DelPoint,0,L3+2),0))</f>
        <v>40</v>
      </c>
      <c r="M29" s="635">
        <f t="array" aca="1" ref="M29" ca="1">SUM(IF((DelPoint= "PV")*(DType = "pre")*(OFFSET(DelPoint,0,M3+2)&gt;0),OFFSET(DelPoint,0,M3+2),0))</f>
        <v>40</v>
      </c>
      <c r="N29" s="635">
        <f t="array" aca="1" ref="N29" ca="1">SUM(IF((DelPoint= "PV")*(DType = "pre")*(OFFSET(DelPoint,0,N3+2)&gt;0),OFFSET(DelPoint,0,N3+2),0))</f>
        <v>40</v>
      </c>
      <c r="O29" s="635">
        <f t="array" aca="1" ref="O29" ca="1">SUM(IF((DelPoint= "PV")*(DType = "pre")*(OFFSET(DelPoint,0,O3+2)&gt;0),OFFSET(DelPoint,0,O3+2),0))</f>
        <v>40</v>
      </c>
      <c r="P29" s="635">
        <f t="array" aca="1" ref="P29" ca="1">SUM(IF((DelPoint= "PV")*(DType = "pre")*(OFFSET(DelPoint,0,P3+2)&gt;0),OFFSET(DelPoint,0,P3+2),0))</f>
        <v>40</v>
      </c>
      <c r="Q29" s="635">
        <f t="array" aca="1" ref="Q29" ca="1">SUM(IF((DelPoint= "PV")*(DType = "pre")*(OFFSET(DelPoint,0,Q3+2)&gt;0),OFFSET(DelPoint,0,Q3+2),0))</f>
        <v>40</v>
      </c>
      <c r="R29" s="635">
        <f t="array" aca="1" ref="R29" ca="1">SUM(IF((DelPoint= "PV")*(DType = "pre")*(OFFSET(DelPoint,0,R3+2)&gt;0),OFFSET(DelPoint,0,R3+2),0))</f>
        <v>40</v>
      </c>
      <c r="S29" s="635">
        <f t="array" aca="1" ref="S29" ca="1">SUM(IF((DelPoint= "PV")*(DType = "pre")*(OFFSET(DelPoint,0,S3+2)&gt;0),OFFSET(DelPoint,0,S3+2),0))</f>
        <v>40</v>
      </c>
      <c r="T29" s="635">
        <f t="array" aca="1" ref="T29" ca="1">SUM(IF((DelPoint= "PV")*(DType = "pre")*(OFFSET(DelPoint,0,T3+2)&gt;0),OFFSET(DelPoint,0,T3+2),0))</f>
        <v>40</v>
      </c>
      <c r="U29" s="635">
        <f t="array" aca="1" ref="U29" ca="1">SUM(IF((DelPoint= "PV")*(DType = "pre")*(OFFSET(DelPoint,0,U3+2)&gt;0),OFFSET(DelPoint,0,U3+2),0))</f>
        <v>40</v>
      </c>
      <c r="V29" s="635">
        <f t="array" aca="1" ref="V29" ca="1">SUM(IF((DelPoint= "PV")*(DType = "pre")*(OFFSET(DelPoint,0,V3+2)&gt;0),OFFSET(DelPoint,0,V3+2),0))</f>
        <v>40</v>
      </c>
      <c r="W29" s="635">
        <f t="array" aca="1" ref="W29" ca="1">SUM(IF((DelPoint= "PV")*(DType = "pre")*(OFFSET(DelPoint,0,W3+2)&gt;0),OFFSET(DelPoint,0,W3+2),0))</f>
        <v>40</v>
      </c>
      <c r="X29" s="635">
        <f t="array" aca="1" ref="X29" ca="1">SUM(IF((DelPoint= "PV")*(DType = "pre")*(OFFSET(DelPoint,0,X3+2)&gt;0),OFFSET(DelPoint,0,X3+2),0))</f>
        <v>30</v>
      </c>
      <c r="Y29" s="637">
        <f t="array" aca="1" ref="Y29" ca="1">SUM(IF((DelPoint= "PV")*(DType = "pre")*(OFFSET(DelPoint,0,Y3+2)&gt;0),OFFSET(DelPoint,0,Y3+2),0))</f>
        <v>30</v>
      </c>
      <c r="AA29" s="158"/>
    </row>
    <row r="30" spans="1:27" s="157" customFormat="1" ht="12" x14ac:dyDescent="0.2">
      <c r="A30" s="457" t="s">
        <v>119</v>
      </c>
      <c r="B30" s="638">
        <f t="shared" ref="B30:H30" ca="1" si="2">SUMIF(OFFSET(PVBalancingVol,B$3,0),"&gt;0")</f>
        <v>0</v>
      </c>
      <c r="C30" s="606">
        <f ca="1">SUMIF(OFFSET(PVBalancingVol,C$3,0),"&gt;0")</f>
        <v>0</v>
      </c>
      <c r="D30" s="606">
        <f t="shared" ca="1" si="2"/>
        <v>0</v>
      </c>
      <c r="E30" s="606">
        <f t="shared" ca="1" si="2"/>
        <v>0</v>
      </c>
      <c r="F30" s="606">
        <f t="shared" ca="1" si="2"/>
        <v>0</v>
      </c>
      <c r="G30" s="194">
        <f t="shared" ca="1" si="2"/>
        <v>0</v>
      </c>
      <c r="H30" s="606">
        <f t="shared" ca="1" si="2"/>
        <v>0</v>
      </c>
      <c r="I30" s="639">
        <f t="array" aca="1" ref="I30" ca="1">SUM(IF((DelPoint= "4C")*(DType = "pre")*(OFFSET(DelPoint,0,I7+2)&gt;0),OFFSET(DelPoint,0,I7+2),0))</f>
        <v>0</v>
      </c>
      <c r="J30" s="639">
        <f t="array" aca="1" ref="J30" ca="1">SUM(IF((DelPoint= "4C")*(DType = "pre")*(OFFSET(DelPoint,0,J7+2)&gt;0),OFFSET(DelPoint,0,J7+2),0))</f>
        <v>0</v>
      </c>
      <c r="K30" s="606">
        <f t="shared" ref="K30:Y30" ca="1" si="3">SUMIF(OFFSET(PVBalancingVol,K$3,0),"&gt;0")</f>
        <v>0</v>
      </c>
      <c r="L30" s="606">
        <f t="shared" ca="1" si="3"/>
        <v>0</v>
      </c>
      <c r="M30" s="606">
        <f t="shared" ca="1" si="3"/>
        <v>0</v>
      </c>
      <c r="N30" s="606">
        <f t="shared" ca="1" si="3"/>
        <v>0</v>
      </c>
      <c r="O30" s="606">
        <f t="shared" ca="1" si="3"/>
        <v>0</v>
      </c>
      <c r="P30" s="606">
        <f t="shared" ca="1" si="3"/>
        <v>0</v>
      </c>
      <c r="Q30" s="606">
        <f t="shared" ca="1" si="3"/>
        <v>0</v>
      </c>
      <c r="R30" s="606">
        <f t="shared" ca="1" si="3"/>
        <v>0</v>
      </c>
      <c r="S30" s="606">
        <f t="shared" ca="1" si="3"/>
        <v>0</v>
      </c>
      <c r="T30" s="606">
        <f t="shared" ca="1" si="3"/>
        <v>0</v>
      </c>
      <c r="U30" s="606">
        <f t="shared" ca="1" si="3"/>
        <v>0</v>
      </c>
      <c r="V30" s="606">
        <f t="shared" ca="1" si="3"/>
        <v>0</v>
      </c>
      <c r="W30" s="606">
        <f t="shared" ca="1" si="3"/>
        <v>0</v>
      </c>
      <c r="X30" s="606">
        <f t="shared" ca="1" si="3"/>
        <v>0</v>
      </c>
      <c r="Y30" s="607">
        <f t="shared" ca="1" si="3"/>
        <v>0</v>
      </c>
      <c r="AA30" s="158"/>
    </row>
    <row r="31" spans="1:27" s="157" customFormat="1" ht="12" x14ac:dyDescent="0.2">
      <c r="A31" s="457" t="s">
        <v>305</v>
      </c>
      <c r="B31" s="639">
        <f>Deals!F11+Deals!F12+Deals!F13+Deals!F14</f>
        <v>103</v>
      </c>
      <c r="C31" s="639">
        <f>Deals!G11+Deals!G12+Deals!G13+Deals!G14</f>
        <v>103</v>
      </c>
      <c r="D31" s="639">
        <f>Deals!H11+Deals!H12+Deals!H13+Deals!H14</f>
        <v>103</v>
      </c>
      <c r="E31" s="639">
        <f>Deals!I11+Deals!I12+Deals!I13+Deals!I14</f>
        <v>103</v>
      </c>
      <c r="F31" s="639">
        <f>Deals!J11+Deals!J12+Deals!J13+Deals!J14</f>
        <v>103</v>
      </c>
      <c r="G31" s="639">
        <f>Deals!K11+Deals!K12+Deals!K13+Deals!K14</f>
        <v>103</v>
      </c>
      <c r="H31" s="639">
        <f>Deals!L11+Deals!L12+Deals!L13+Deals!L14</f>
        <v>0</v>
      </c>
      <c r="I31" s="639">
        <f>Deals!M11+Deals!M12+Deals!M13+Deals!M14</f>
        <v>0</v>
      </c>
      <c r="J31" s="639">
        <f>Deals!N11+Deals!N12+Deals!N13+Deals!N14</f>
        <v>0</v>
      </c>
      <c r="K31" s="639">
        <f>Deals!O11+Deals!O12+Deals!O13+Deals!O14</f>
        <v>0</v>
      </c>
      <c r="L31" s="639">
        <f>Deals!P11+Deals!P12+Deals!P13+Deals!P14</f>
        <v>0</v>
      </c>
      <c r="M31" s="639">
        <f>Deals!Q11+Deals!Q12+Deals!Q13+Deals!Q14</f>
        <v>0</v>
      </c>
      <c r="N31" s="639">
        <f>Deals!R11+Deals!R12+Deals!R13+Deals!R14</f>
        <v>0</v>
      </c>
      <c r="O31" s="639">
        <f>Deals!S11+Deals!S12+Deals!S13+Deals!S14</f>
        <v>0</v>
      </c>
      <c r="P31" s="639">
        <f>Deals!T11+Deals!T12+Deals!T13+Deals!T14</f>
        <v>0</v>
      </c>
      <c r="Q31" s="639">
        <f>Deals!U11+Deals!U12+Deals!U13+Deals!U14</f>
        <v>0</v>
      </c>
      <c r="R31" s="639">
        <f>Deals!V11+Deals!V12+Deals!V13+Deals!V14</f>
        <v>0</v>
      </c>
      <c r="S31" s="639">
        <f>Deals!W11+Deals!W12+Deals!W13+Deals!W14</f>
        <v>0</v>
      </c>
      <c r="T31" s="639">
        <f>Deals!X11+Deals!X12+Deals!X13+Deals!X14</f>
        <v>0</v>
      </c>
      <c r="U31" s="639">
        <f>Deals!Y11+Deals!Y12+Deals!Y13+Deals!Y14</f>
        <v>0</v>
      </c>
      <c r="V31" s="639">
        <f>Deals!Z11+Deals!Z12+Deals!Z13+Deals!Z14</f>
        <v>0</v>
      </c>
      <c r="W31" s="639">
        <f>Deals!AA11+Deals!AA12+Deals!AA13+Deals!AA14</f>
        <v>0</v>
      </c>
      <c r="X31" s="639">
        <f>Deals!AB11+Deals!AB12+Deals!AB13+Deals!AB14</f>
        <v>103</v>
      </c>
      <c r="Y31" s="665">
        <f>Deals!AC11+Deals!AC12+Deals!AC13+Deals!AC14</f>
        <v>103</v>
      </c>
      <c r="AA31" s="158"/>
    </row>
    <row r="32" spans="1:27" s="157" customFormat="1" ht="12" x14ac:dyDescent="0.2">
      <c r="A32" s="458" t="s">
        <v>120</v>
      </c>
      <c r="B32" s="640">
        <f t="array" aca="1" ref="B32" ca="1">SUM(IF((DelPoint= "PV")*IF((DType = "firm")+(DType = "econ")&gt;0,1,0)*(OFFSET(DelPoint,0,B3+2)&gt;0),OFFSET(DelPoint,0,B3+2),0))</f>
        <v>35</v>
      </c>
      <c r="C32" s="608">
        <f t="array" aca="1" ref="C32" ca="1">SUM(IF((DelPoint= "PV")*IF((DType = "firm")+(DType = "econ")&gt;0,1,0)*(OFFSET(DelPoint,0,C3+2)&gt;0),OFFSET(DelPoint,0,C3+2),0))</f>
        <v>0</v>
      </c>
      <c r="D32" s="608">
        <f t="array" aca="1" ref="D32" ca="1">SUM(IF((DelPoint= "PV")*IF((DType = "firm")+(DType = "econ")&gt;0,1,0)*(OFFSET(DelPoint,0,D3+2)&gt;0),OFFSET(DelPoint,0,D3+2),0))</f>
        <v>0</v>
      </c>
      <c r="E32" s="608">
        <f t="array" aca="1" ref="E32" ca="1">SUM(IF((DelPoint= "PV")*IF((DType = "firm")+(DType = "econ")&gt;0,1,0)*(OFFSET(DelPoint,0,E3+2)&gt;0),OFFSET(DelPoint,0,E3+2),0))</f>
        <v>19</v>
      </c>
      <c r="F32" s="608">
        <f t="array" aca="1" ref="F32" ca="1">SUM(IF((DelPoint= "PV")*IF((DType = "firm")+(DType = "econ")&gt;0,1,0)*(OFFSET(DelPoint,0,F3+2)&gt;0),OFFSET(DelPoint,0,F3+2),0))</f>
        <v>0</v>
      </c>
      <c r="G32" s="608">
        <f t="array" aca="1" ref="G32" ca="1">SUM(IF((DelPoint= "PV")*IF((DType = "firm")+(DType = "econ")&gt;0,1,0)*(OFFSET(DelPoint,0,G3+2)&gt;0),OFFSET(DelPoint,0,G3+2),0))</f>
        <v>0</v>
      </c>
      <c r="H32" s="608">
        <f t="array" aca="1" ref="H32" ca="1">SUM(IF((DelPoint= "PV")*IF((DType = "firm")+(DType = "econ")&gt;0,1,0)*(OFFSET(DelPoint,0,H3+2)&gt;0),OFFSET(DelPoint,0,H3+2),0))</f>
        <v>100</v>
      </c>
      <c r="I32" s="608">
        <f t="array" aca="1" ref="I32" ca="1">SUM(IF((DelPoint= "PV")*IF((DType = "firm")+(DType = "econ")&gt;0,1,0)*(OFFSET(DelPoint,0,I3+2)&gt;0),OFFSET(DelPoint,0,I3+2),0))</f>
        <v>150</v>
      </c>
      <c r="J32" s="608">
        <f t="array" aca="1" ref="J32" ca="1">SUM(IF((DelPoint= "PV")*IF((DType = "firm")+(DType = "econ")&gt;0,1,0)*(OFFSET(DelPoint,0,J3+2)&gt;0),OFFSET(DelPoint,0,J3+2),0))</f>
        <v>200</v>
      </c>
      <c r="K32" s="608">
        <f t="array" aca="1" ref="K32" ca="1">SUM(IF((DelPoint= "PV")*IF((DType = "firm")+(DType = "econ")&gt;0,1,0)*(OFFSET(DelPoint,0,K3+2)&gt;0),OFFSET(DelPoint,0,K3+2),0))</f>
        <v>170</v>
      </c>
      <c r="L32" s="608">
        <f t="array" aca="1" ref="L32" ca="1">SUM(IF((DelPoint= "PV")*IF((DType = "firm")+(DType = "econ")&gt;0,1,0)*(OFFSET(DelPoint,0,L3+2)&gt;0),OFFSET(DelPoint,0,L3+2),0))</f>
        <v>95</v>
      </c>
      <c r="M32" s="608">
        <f t="array" aca="1" ref="M32" ca="1">SUM(IF((DelPoint= "PV")*IF((DType = "firm")+(DType = "econ")&gt;0,1,0)*(OFFSET(DelPoint,0,M3+2)&gt;0),OFFSET(DelPoint,0,M3+2),0))</f>
        <v>76</v>
      </c>
      <c r="N32" s="608">
        <f t="array" aca="1" ref="N32" ca="1">SUM(IF((DelPoint= "PV")*IF((DType = "firm")+(DType = "econ")&gt;0,1,0)*(OFFSET(DelPoint,0,N3+2)&gt;0),OFFSET(DelPoint,0,N3+2),0))</f>
        <v>1</v>
      </c>
      <c r="O32" s="608">
        <f t="array" aca="1" ref="O32" ca="1">SUM(IF((DelPoint= "PV")*IF((DType = "firm")+(DType = "econ")&gt;0,1,0)*(OFFSET(DelPoint,0,O3+2)&gt;0),OFFSET(DelPoint,0,O3+2),0))</f>
        <v>27</v>
      </c>
      <c r="P32" s="608">
        <f t="array" aca="1" ref="P32" ca="1">SUM(IF((DelPoint= "PV")*IF((DType = "firm")+(DType = "econ")&gt;0,1,0)*(OFFSET(DelPoint,0,P3+2)&gt;0),OFFSET(DelPoint,0,P3+2),0))</f>
        <v>29</v>
      </c>
      <c r="Q32" s="608">
        <f t="array" aca="1" ref="Q32" ca="1">SUM(IF((DelPoint= "PV")*IF((DType = "firm")+(DType = "econ")&gt;0,1,0)*(OFFSET(DelPoint,0,Q3+2)&gt;0),OFFSET(DelPoint,0,Q3+2),0))</f>
        <v>20</v>
      </c>
      <c r="R32" s="608">
        <f t="array" aca="1" ref="R32" ca="1">SUM(IF((DelPoint= "PV")*IF((DType = "firm")+(DType = "econ")&gt;0,1,0)*(OFFSET(DelPoint,0,R3+2)&gt;0),OFFSET(DelPoint,0,R3+2),0))</f>
        <v>1</v>
      </c>
      <c r="S32" s="608">
        <f t="array" aca="1" ref="S32" ca="1">SUM(IF((DelPoint= "PV")*IF((DType = "firm")+(DType = "econ")&gt;0,1,0)*(OFFSET(DelPoint,0,S3+2)&gt;0),OFFSET(DelPoint,0,S3+2),0))</f>
        <v>16</v>
      </c>
      <c r="T32" s="608">
        <f t="array" aca="1" ref="T32" ca="1">SUM(IF((DelPoint= "PV")*IF((DType = "firm")+(DType = "econ")&gt;0,1,0)*(OFFSET(DelPoint,0,T3+2)&gt;0),OFFSET(DelPoint,0,T3+2),0))</f>
        <v>14</v>
      </c>
      <c r="U32" s="608">
        <f t="array" aca="1" ref="U32" ca="1">SUM(IF((DelPoint= "PV")*IF((DType = "firm")+(DType = "econ")&gt;0,1,0)*(OFFSET(DelPoint,0,U3+2)&gt;0),OFFSET(DelPoint,0,U3+2),0))</f>
        <v>75</v>
      </c>
      <c r="V32" s="608">
        <f t="array" aca="1" ref="V32" ca="1">SUM(IF((DelPoint= "PV")*IF((DType = "firm")+(DType = "econ")&gt;0,1,0)*(OFFSET(DelPoint,0,V3+2)&gt;0),OFFSET(DelPoint,0,V3+2),0))</f>
        <v>75</v>
      </c>
      <c r="W32" s="608">
        <f t="array" aca="1" ref="W32" ca="1">SUM(IF((DelPoint= "PV")*IF((DType = "firm")+(DType = "econ")&gt;0,1,0)*(OFFSET(DelPoint,0,W3+2)&gt;0),OFFSET(DelPoint,0,W3+2),0))</f>
        <v>125</v>
      </c>
      <c r="X32" s="608">
        <f t="array" aca="1" ref="X32" ca="1">SUM(IF((DelPoint= "PV")*IF((DType = "firm")+(DType = "econ")&gt;0,1,0)*(OFFSET(DelPoint,0,X3+2)&gt;0),OFFSET(DelPoint,0,X3+2),0))</f>
        <v>0</v>
      </c>
      <c r="Y32" s="609">
        <f t="array" aca="1" ref="Y32" ca="1">SUM(IF((DelPoint= "PV")*IF((DType = "firm")+(DType = "econ")&gt;0,1,0)*(OFFSET(DelPoint,0,Y3+2)&gt;0),OFFSET(DelPoint,0,Y3+2),0))</f>
        <v>75</v>
      </c>
      <c r="AA32" s="158"/>
    </row>
    <row r="33" spans="1:33" s="157" customFormat="1" ht="12" x14ac:dyDescent="0.2">
      <c r="A33" s="459" t="s">
        <v>259</v>
      </c>
      <c r="B33" s="610">
        <f t="array" aca="1" ref="B33" ca="1">SUM(IF((DelPoint= "hidalgo")*(DType = "pre")*(OFFSET(DelPoint,0,B3+2)&gt;0),OFFSET(DelPoint,0,B3+2),0))</f>
        <v>0</v>
      </c>
      <c r="C33" s="641">
        <f t="array" aca="1" ref="C33" ca="1">SUM(IF((DelPoint= "hidalgo")*(DType = "pre")*(OFFSET(DelPoint,0,C3+2)&gt;0),OFFSET(DelPoint,0,C3+2),0))</f>
        <v>0</v>
      </c>
      <c r="D33" s="641"/>
      <c r="E33" s="641">
        <f t="array" aca="1" ref="E33" ca="1">SUM(IF((DelPoint= "hidalgo")*(DType = "pre")*(OFFSET(DelPoint,0,E3+2)&gt;0),OFFSET(DelPoint,0,E3+2),0))</f>
        <v>0</v>
      </c>
      <c r="F33" s="641">
        <f t="array" aca="1" ref="F33" ca="1">SUM(IF((DelPoint= "hidalgo")*(DType = "pre")*(OFFSET(DelPoint,0,F3+2)&gt;0),OFFSET(DelPoint,0,F3+2),0))</f>
        <v>0</v>
      </c>
      <c r="G33" s="641">
        <f t="array" aca="1" ref="G33" ca="1">SUM(IF((DelPoint= "hidalgo")*(DType = "pre")*(OFFSET(DelPoint,0,G3+2)&gt;0),OFFSET(DelPoint,0,G3+2),0))</f>
        <v>0</v>
      </c>
      <c r="H33" s="641">
        <f t="array" aca="1" ref="H33" ca="1">SUM(IF((DelPoint= "hidalgo")*(DType = "pre")*(OFFSET(DelPoint,0,H3+2)&gt;0),OFFSET(DelPoint,0,H3+2),0))</f>
        <v>0</v>
      </c>
      <c r="I33" s="610">
        <f t="array" aca="1" ref="I33" ca="1">SUM(IF((DelPoint= "4C")*(DType = "pre")*(OFFSET(DelPoint,0,I9+2)&gt;0),OFFSET(DelPoint,0,I9+2),0))</f>
        <v>0</v>
      </c>
      <c r="J33" s="610">
        <f t="array" aca="1" ref="J33" ca="1">SUM(IF((DelPoint= "4C")*(DType = "pre")*(OFFSET(DelPoint,0,J9+2)&gt;0),OFFSET(DelPoint,0,J9+2),0))</f>
        <v>0</v>
      </c>
      <c r="K33" s="641">
        <f t="array" aca="1" ref="K33" ca="1">SUM(IF((DelPoint= "hidalgo")*(DType = "pre")*(OFFSET(DelPoint,0,K3+2)&gt;0),OFFSET(DelPoint,0,K3+2),0))</f>
        <v>0</v>
      </c>
      <c r="L33" s="641">
        <f t="array" aca="1" ref="L33" ca="1">SUM(IF((DelPoint= "hidalgo")*(DType = "pre")*(OFFSET(DelPoint,0,L3+2)&gt;0),OFFSET(DelPoint,0,L3+2),0))</f>
        <v>0</v>
      </c>
      <c r="M33" s="641">
        <f t="array" aca="1" ref="M33" ca="1">SUM(IF((DelPoint= "hidalgo")*(DType = "pre")*(OFFSET(DelPoint,0,M3+2)&gt;0),OFFSET(DelPoint,0,M3+2),0))</f>
        <v>0</v>
      </c>
      <c r="N33" s="641">
        <f t="array" aca="1" ref="N33" ca="1">SUM(IF((DelPoint= "hidalgo")*(DType = "pre")*(OFFSET(DelPoint,0,N3+2)&gt;0),OFFSET(DelPoint,0,N3+2),0))</f>
        <v>0</v>
      </c>
      <c r="O33" s="641">
        <f t="array" aca="1" ref="O33" ca="1">SUM(IF((DelPoint= "hidalgo")*(DType = "pre")*(OFFSET(DelPoint,0,O3+2)&gt;0),OFFSET(DelPoint,0,O3+2),0))</f>
        <v>0</v>
      </c>
      <c r="P33" s="641">
        <f t="array" aca="1" ref="P33" ca="1">SUM(IF((DelPoint= "hidalgo")*(DType = "pre")*(OFFSET(DelPoint,0,P3+2)&gt;0),OFFSET(DelPoint,0,P3+2),0))</f>
        <v>0</v>
      </c>
      <c r="Q33" s="641">
        <f t="array" aca="1" ref="Q33" ca="1">SUM(IF((DelPoint= "hidalgo")*(DType = "pre")*(OFFSET(DelPoint,0,Q3+2)&gt;0),OFFSET(DelPoint,0,Q3+2),0))</f>
        <v>0</v>
      </c>
      <c r="R33" s="641">
        <f t="array" aca="1" ref="R33" ca="1">SUM(IF((DelPoint= "hidalgo")*(DType = "pre")*(OFFSET(DelPoint,0,R3+2)&gt;0),OFFSET(DelPoint,0,R3+2),0))</f>
        <v>0</v>
      </c>
      <c r="S33" s="641">
        <f t="array" aca="1" ref="S33" ca="1">SUM(IF((DelPoint= "hidalgo")*(DType = "pre")*(OFFSET(DelPoint,0,S3+2)&gt;0),OFFSET(DelPoint,0,S3+2),0))</f>
        <v>0</v>
      </c>
      <c r="T33" s="641">
        <f t="array" aca="1" ref="T33" ca="1">SUM(IF((DelPoint= "hidalgo")*(DType = "pre")*(OFFSET(DelPoint,0,T3+2)&gt;0),OFFSET(DelPoint,0,T3+2),0))</f>
        <v>0</v>
      </c>
      <c r="U33" s="641">
        <f t="array" aca="1" ref="U33" ca="1">SUM(IF((DelPoint= "hidalgo")*(DType = "pre")*(OFFSET(DelPoint,0,U3+2)&gt;0),OFFSET(DelPoint,0,U3+2),0))</f>
        <v>0</v>
      </c>
      <c r="V33" s="641">
        <f t="array" aca="1" ref="V33" ca="1">SUM(IF((DelPoint= "hidalgo")*(DType = "pre")*(OFFSET(DelPoint,0,V3+2)&gt;0),OFFSET(DelPoint,0,V3+2),0))</f>
        <v>0</v>
      </c>
      <c r="W33" s="641">
        <f t="array" aca="1" ref="W33" ca="1">SUM(IF((DelPoint= "hidalgo")*(DType = "pre")*(OFFSET(DelPoint,0,W3+2)&gt;0),OFFSET(DelPoint,0,W3+2),0))</f>
        <v>0</v>
      </c>
      <c r="X33" s="641">
        <f t="array" aca="1" ref="X33" ca="1">SUM(IF((DelPoint= "hidalgo")*(DType = "pre")*(OFFSET(DelPoint,0,X3+2)&gt;0),OFFSET(DelPoint,0,X3+2),0))</f>
        <v>0</v>
      </c>
      <c r="Y33" s="642">
        <f t="array" aca="1" ref="Y33" ca="1">SUM(IF((DelPoint= "hidalgo")*(DType = "pre")*(OFFSET(DelPoint,0,Y3+2)&gt;0),OFFSET(DelPoint,0,Y3+2),0))</f>
        <v>0</v>
      </c>
      <c r="AA33" s="158"/>
    </row>
    <row r="34" spans="1:33" s="157" customFormat="1" thickBot="1" x14ac:dyDescent="0.25">
      <c r="A34" s="464" t="s">
        <v>260</v>
      </c>
      <c r="B34" s="643">
        <f t="array" aca="1" ref="B34" ca="1">SUM(IF((DelPoint= "hidalgo")*IF((DType = "firm")+(DType = "econ")&gt;0,1,0)*(OFFSET(DelPoint,0,B3+2)&gt;0),OFFSET(DelPoint,0,B3+2),0))</f>
        <v>0</v>
      </c>
      <c r="C34" s="644">
        <f t="array" aca="1" ref="C34" ca="1">SUM(IF((DelPoint= "hidalgo")*IF((DType = "firm")+(DType = "econ")&gt;0,1,0)*(OFFSET(DelPoint,0,C3+2)&gt;0),OFFSET(DelPoint,0,C3+2),0))</f>
        <v>0</v>
      </c>
      <c r="D34" s="643">
        <f t="array" aca="1" ref="D34" ca="1">SUM(IF((DelPoint= "hidalgo")*IF((DType = "firm")+(DType = "econ")&gt;0,1,0)*(OFFSET(DelPoint,0,D3+2)&gt;0),OFFSET(DelPoint,0,D3+2),0))</f>
        <v>0</v>
      </c>
      <c r="E34" s="643">
        <f t="array" aca="1" ref="E34" ca="1">SUM(IF((DelPoint= "hidalgo")*IF((DType = "firm")+(DType = "econ")&gt;0,1,0)*(OFFSET(DelPoint,0,E3+2)&gt;0),OFFSET(DelPoint,0,E3+2),0))</f>
        <v>0</v>
      </c>
      <c r="F34" s="643">
        <f t="array" aca="1" ref="F34" ca="1">SUM(IF((DelPoint= "hidalgo")*IF((DType = "firm")+(DType = "econ")&gt;0,1,0)*(OFFSET(DelPoint,0,F3+2)&gt;0),OFFSET(DelPoint,0,F3+2),0))</f>
        <v>0</v>
      </c>
      <c r="G34" s="643">
        <f t="array" aca="1" ref="G34" ca="1">SUM(IF((DelPoint= "hidalgo")*IF((DType = "firm")+(DType = "econ")&gt;0,1,0)*(OFFSET(DelPoint,0,G3+2)&gt;0),OFFSET(DelPoint,0,G3+2),0))</f>
        <v>0</v>
      </c>
      <c r="H34" s="643">
        <f t="array" aca="1" ref="H34" ca="1">SUM(IF((DelPoint= "hidalgo")*IF((DType = "firm")+(DType = "econ")&gt;0,1,0)*(OFFSET(DelPoint,0,H3+2)&gt;0),OFFSET(DelPoint,0,H3+2),0))</f>
        <v>0</v>
      </c>
      <c r="I34" s="643">
        <f t="array" aca="1" ref="I34" ca="1">SUM(IF((DelPoint= "hidalgo")*IF((DType = "firm")+(DType = "econ")&gt;0,1,0)*(OFFSET(DelPoint,0,I3+2)&gt;0),OFFSET(DelPoint,0,I3+2),0))</f>
        <v>0</v>
      </c>
      <c r="J34" s="643">
        <f t="array" aca="1" ref="J34" ca="1">SUM(IF((DelPoint= "hidalgo")*IF((DType = "firm")+(DType = "econ")&gt;0,1,0)*(OFFSET(DelPoint,0,J3+2)&gt;0),OFFSET(DelPoint,0,J3+2),0))</f>
        <v>0</v>
      </c>
      <c r="K34" s="643">
        <f t="array" aca="1" ref="K34" ca="1">SUM(IF((DelPoint= "hidalgo")*IF((DType = "firm")+(DType = "econ")&gt;0,1,0)*(OFFSET(DelPoint,0,K3+2)&gt;0),OFFSET(DelPoint,0,K3+2),0))</f>
        <v>0</v>
      </c>
      <c r="L34" s="643">
        <f t="array" aca="1" ref="L34" ca="1">SUM(IF((DelPoint= "hidalgo")*IF((DType = "firm")+(DType = "econ")&gt;0,1,0)*(OFFSET(DelPoint,0,L3+2)&gt;0),OFFSET(DelPoint,0,L3+2),0))</f>
        <v>0</v>
      </c>
      <c r="M34" s="643">
        <f t="array" aca="1" ref="M34" ca="1">SUM(IF((DelPoint= "hidalgo")*IF((DType = "firm")+(DType = "econ")&gt;0,1,0)*(OFFSET(DelPoint,0,M3+2)&gt;0),OFFSET(DelPoint,0,M3+2),0))</f>
        <v>0</v>
      </c>
      <c r="N34" s="643">
        <f t="array" aca="1" ref="N34" ca="1">SUM(IF((DelPoint= "hidalgo")*IF((DType = "firm")+(DType = "econ")&gt;0,1,0)*(OFFSET(DelPoint,0,N3+2)&gt;0),OFFSET(DelPoint,0,N3+2),0))</f>
        <v>0</v>
      </c>
      <c r="O34" s="643">
        <f t="array" aca="1" ref="O34" ca="1">SUM(IF((DelPoint= "hidalgo")*IF((DType = "firm")+(DType = "econ")&gt;0,1,0)*(OFFSET(DelPoint,0,O3+2)&gt;0),OFFSET(DelPoint,0,O3+2),0))</f>
        <v>0</v>
      </c>
      <c r="P34" s="643">
        <f t="array" aca="1" ref="P34" ca="1">SUM(IF((DelPoint= "hidalgo")*IF((DType = "firm")+(DType = "econ")&gt;0,1,0)*(OFFSET(DelPoint,0,P3+2)&gt;0),OFFSET(DelPoint,0,P3+2),0))</f>
        <v>0</v>
      </c>
      <c r="Q34" s="643">
        <f t="array" aca="1" ref="Q34" ca="1">SUM(IF((DelPoint= "hidalgo")*IF((DType = "firm")+(DType = "econ")&gt;0,1,0)*(OFFSET(DelPoint,0,Q3+2)&gt;0),OFFSET(DelPoint,0,Q3+2),0))</f>
        <v>0</v>
      </c>
      <c r="R34" s="643">
        <f t="array" aca="1" ref="R34" ca="1">SUM(IF((DelPoint= "hidalgo")*IF((DType = "firm")+(DType = "econ")&gt;0,1,0)*(OFFSET(DelPoint,0,R3+2)&gt;0),OFFSET(DelPoint,0,R3+2),0))</f>
        <v>0</v>
      </c>
      <c r="S34" s="643">
        <f t="array" aca="1" ref="S34" ca="1">SUM(IF((DelPoint= "hidalgo")*IF((DType = "firm")+(DType = "econ")&gt;0,1,0)*(OFFSET(DelPoint,0,S3+2)&gt;0),OFFSET(DelPoint,0,S3+2),0))</f>
        <v>0</v>
      </c>
      <c r="T34" s="643">
        <f t="array" aca="1" ref="T34" ca="1">SUM(IF((DelPoint= "hidalgo")*IF((DType = "firm")+(DType = "econ")&gt;0,1,0)*(OFFSET(DelPoint,0,T3+2)&gt;0),OFFSET(DelPoint,0,T3+2),0))</f>
        <v>0</v>
      </c>
      <c r="U34" s="643">
        <f t="array" aca="1" ref="U34" ca="1">SUM(IF((DelPoint= "hidalgo")*IF((DType = "firm")+(DType = "econ")&gt;0,1,0)*(OFFSET(DelPoint,0,U3+2)&gt;0),OFFSET(DelPoint,0,U3+2),0))</f>
        <v>0</v>
      </c>
      <c r="V34" s="643">
        <f t="array" aca="1" ref="V34" ca="1">SUM(IF((DelPoint= "hidalgo")*IF((DType = "firm")+(DType = "econ")&gt;0,1,0)*(OFFSET(DelPoint,0,V3+2)&gt;0),OFFSET(DelPoint,0,V3+2),0))</f>
        <v>0</v>
      </c>
      <c r="W34" s="643">
        <f t="array" aca="1" ref="W34" ca="1">SUM(IF((DelPoint= "hidalgo")*IF((DType = "firm")+(DType = "econ")&gt;0,1,0)*(OFFSET(DelPoint,0,W3+2)&gt;0),OFFSET(DelPoint,0,W3+2),0))</f>
        <v>0</v>
      </c>
      <c r="X34" s="643">
        <f t="array" aca="1" ref="X34" ca="1">SUM(IF((DelPoint= "hidalgo")*IF((DType = "firm")+(DType = "econ")&gt;0,1,0)*(OFFSET(DelPoint,0,X3+2)&gt;0),OFFSET(DelPoint,0,X3+2),0))</f>
        <v>0</v>
      </c>
      <c r="Y34" s="645">
        <f t="array" aca="1" ref="Y34" ca="1">SUM(IF((DelPoint= "hidalgo")*IF((DType = "firm")+(DType = "econ")&gt;0,1,0)*(OFFSET(DelPoint,0,Y3+2)&gt;0),OFFSET(DelPoint,0,Y3+2),0))</f>
        <v>0</v>
      </c>
      <c r="AA34" s="158"/>
    </row>
    <row r="35" spans="1:33" s="157" customFormat="1" ht="12" x14ac:dyDescent="0.2">
      <c r="A35" s="685" t="s">
        <v>252</v>
      </c>
      <c r="B35" s="686">
        <f t="array" aca="1" ref="B35" ca="1">SUM(IF((DelPoint= "SPS")*(DType = "pre")*(OFFSET(DelPoint,0,B3+2)&gt;0),OFFSET(DelPoint,0,B3+2),0))</f>
        <v>0</v>
      </c>
      <c r="C35" s="687">
        <f t="array" aca="1" ref="C35" ca="1">SUM(IF((DelPoint= "SPS")*(DType = "pre")*(OFFSET(DelPoint,0,C3+2)&gt;0),OFFSET(DelPoint,0,C3+2),0))</f>
        <v>0</v>
      </c>
      <c r="D35" s="687">
        <f t="array" aca="1" ref="D35" ca="1">SUM(IF((DelPoint= "SPS")*(DType = "pre")*(OFFSET(DelPoint,0,D3+2)&gt;0),OFFSET(DelPoint,0,D3+2),0))</f>
        <v>0</v>
      </c>
      <c r="E35" s="687">
        <f t="array" aca="1" ref="E35" ca="1">SUM(IF((DelPoint= "SPS")*(DType = "pre")*(OFFSET(DelPoint,0,E3+2)&gt;0),OFFSET(DelPoint,0,E3+2),0))</f>
        <v>0</v>
      </c>
      <c r="F35" s="687">
        <f t="array" aca="1" ref="F35" ca="1">SUM(IF((DelPoint= "SPS")*(DType = "pre")*(OFFSET(DelPoint,0,F3+2)&gt;0),OFFSET(DelPoint,0,F3+2),0))</f>
        <v>0</v>
      </c>
      <c r="G35" s="687">
        <f t="array" aca="1" ref="G35" ca="1">SUM(IF((DelPoint= "SPS")*(DType = "pre")*(OFFSET(DelPoint,0,G3+2)&gt;0),OFFSET(DelPoint,0,G3+2),0))</f>
        <v>0</v>
      </c>
      <c r="H35" s="687">
        <f t="array" aca="1" ref="H35" ca="1">SUM(IF((DelPoint= "SPS")*(DType = "pre")*(OFFSET(DelPoint,0,H3+2)&gt;0),OFFSET(DelPoint,0,H3+2),0))</f>
        <v>0</v>
      </c>
      <c r="I35" s="687">
        <f t="array" aca="1" ref="I35" ca="1">SUM(IF((DelPoint= "SPS")*(DType = "pre")*(OFFSET(DelPoint,0,I3+2)&gt;0),OFFSET(DelPoint,0,I3+2),0))</f>
        <v>0</v>
      </c>
      <c r="J35" s="687">
        <f t="array" aca="1" ref="J35" ca="1">SUM(IF((DelPoint= "SPS")*(DType = "pre")*(OFFSET(DelPoint,0,J3+2)&gt;0),OFFSET(DelPoint,0,J3+2),0))</f>
        <v>0</v>
      </c>
      <c r="K35" s="687">
        <f t="array" aca="1" ref="K35" ca="1">SUM(IF((DelPoint= "SPS")*(DType = "pre")*(OFFSET(DelPoint,0,K3+2)&gt;0),OFFSET(DelPoint,0,K3+2),0))</f>
        <v>0</v>
      </c>
      <c r="L35" s="687">
        <f t="array" aca="1" ref="L35" ca="1">SUM(IF((DelPoint= "SPS")*(DType = "pre")*(OFFSET(DelPoint,0,L3+2)&gt;0),OFFSET(DelPoint,0,L3+2),0))</f>
        <v>0</v>
      </c>
      <c r="M35" s="687">
        <f t="array" aca="1" ref="M35" ca="1">SUM(IF((DelPoint= "SPS")*(DType = "pre")*(OFFSET(DelPoint,0,M3+2)&gt;0),OFFSET(DelPoint,0,M3+2),0))</f>
        <v>0</v>
      </c>
      <c r="N35" s="687">
        <f t="array" aca="1" ref="N35" ca="1">SUM(IF((DelPoint= "SPS")*(DType = "pre")*(OFFSET(DelPoint,0,N3+2)&gt;0),OFFSET(DelPoint,0,N3+2),0))</f>
        <v>0</v>
      </c>
      <c r="O35" s="687">
        <f t="array" aca="1" ref="O35" ca="1">SUM(IF((DelPoint= "SPS")*(DType = "pre")*(OFFSET(DelPoint,0,O3+2)&gt;0),OFFSET(DelPoint,0,O3+2),0))</f>
        <v>0</v>
      </c>
      <c r="P35" s="687">
        <f t="array" aca="1" ref="P35" ca="1">SUM(IF((DelPoint= "SPS")*(DType = "pre")*(OFFSET(DelPoint,0,P3+2)&gt;0),OFFSET(DelPoint,0,P3+2),0))</f>
        <v>0</v>
      </c>
      <c r="Q35" s="687">
        <f t="array" aca="1" ref="Q35" ca="1">SUM(IF((DelPoint= "SPS")*(DType = "pre")*(OFFSET(DelPoint,0,Q3+2)&gt;0),OFFSET(DelPoint,0,Q3+2),0))</f>
        <v>0</v>
      </c>
      <c r="R35" s="687">
        <f t="array" aca="1" ref="R35" ca="1">SUM(IF((DelPoint= "SPS")*(DType = "pre")*(OFFSET(DelPoint,0,R3+2)&gt;0),OFFSET(DelPoint,0,R3+2),0))</f>
        <v>0</v>
      </c>
      <c r="S35" s="687">
        <f t="array" aca="1" ref="S35" ca="1">SUM(IF((DelPoint= "SPS")*(DType = "pre")*(OFFSET(DelPoint,0,S3+2)&gt;0),OFFSET(DelPoint,0,S3+2),0))</f>
        <v>0</v>
      </c>
      <c r="T35" s="687">
        <f t="array" aca="1" ref="T35" ca="1">SUM(IF((DelPoint= "SPS")*(DType = "pre")*(OFFSET(DelPoint,0,T3+2)&gt;0),OFFSET(DelPoint,0,T3+2),0))</f>
        <v>0</v>
      </c>
      <c r="U35" s="687">
        <f t="array" aca="1" ref="U35" ca="1">SUM(IF((DelPoint= "SPS")*(DType = "pre")*(OFFSET(DelPoint,0,U3+2)&gt;0),OFFSET(DelPoint,0,U3+2),0))</f>
        <v>0</v>
      </c>
      <c r="V35" s="687">
        <f t="array" aca="1" ref="V35" ca="1">SUM(IF((DelPoint= "SPS")*(DType = "pre")*(OFFSET(DelPoint,0,V3+2)&gt;0),OFFSET(DelPoint,0,V3+2),0))</f>
        <v>0</v>
      </c>
      <c r="W35" s="687">
        <f t="array" aca="1" ref="W35" ca="1">SUM(IF((DelPoint= "SPS")*(DType = "pre")*(OFFSET(DelPoint,0,W3+2)&gt;0),OFFSET(DelPoint,0,W3+2),0))</f>
        <v>0</v>
      </c>
      <c r="X35" s="687">
        <f t="array" aca="1" ref="X35" ca="1">SUM(IF((DelPoint= "SPS")*(DType = "pre")*(OFFSET(DelPoint,0,X3+2)&gt;0),OFFSET(DelPoint,0,X3+2),0))</f>
        <v>0</v>
      </c>
      <c r="Y35" s="688">
        <f t="array" aca="1" ref="Y35" ca="1">SUM(IF((DelPoint= "SPS")*(DType = "pre")*(OFFSET(DelPoint,0,Y3+2)&gt;0),OFFSET(DelPoint,0,Y3+2),0))</f>
        <v>0</v>
      </c>
      <c r="AA35" s="158"/>
    </row>
    <row r="36" spans="1:33" s="157" customFormat="1" ht="12" x14ac:dyDescent="0.2">
      <c r="A36" s="460" t="s">
        <v>257</v>
      </c>
      <c r="B36" s="193">
        <f ca="1">SUMIF(OFFSET(SPSBalancingVol,B$3,0),"&gt;0")</f>
        <v>0</v>
      </c>
      <c r="C36" s="193">
        <f t="shared" ref="C36:I36" ca="1" si="4">SUMIF(OFFSET(SPSBalancingVol,C$3,0),"&gt;0")</f>
        <v>0</v>
      </c>
      <c r="D36" s="193">
        <f t="shared" ca="1" si="4"/>
        <v>0</v>
      </c>
      <c r="E36" s="522">
        <f t="shared" ca="1" si="4"/>
        <v>0</v>
      </c>
      <c r="F36" s="193">
        <f t="shared" ca="1" si="4"/>
        <v>0</v>
      </c>
      <c r="G36" s="193">
        <f t="shared" ca="1" si="4"/>
        <v>0</v>
      </c>
      <c r="H36" s="193">
        <f t="shared" ca="1" si="4"/>
        <v>0</v>
      </c>
      <c r="I36" s="193">
        <f t="shared" ca="1" si="4"/>
        <v>0</v>
      </c>
      <c r="J36" s="193">
        <f ca="1">SUMIF(OFFSET(SPSBalancingVol,J$3,0),"&gt;0")</f>
        <v>0</v>
      </c>
      <c r="K36" s="193">
        <f t="shared" ref="K36:Y36" ca="1" si="5">SUMIF(OFFSET(SPSBalancingVol,K$3,0),"&gt;0")</f>
        <v>0</v>
      </c>
      <c r="L36" s="193">
        <f t="shared" ca="1" si="5"/>
        <v>0</v>
      </c>
      <c r="M36" s="193">
        <f t="shared" ca="1" si="5"/>
        <v>0</v>
      </c>
      <c r="N36" s="193">
        <f t="shared" ca="1" si="5"/>
        <v>0</v>
      </c>
      <c r="O36" s="193">
        <f t="shared" ca="1" si="5"/>
        <v>0</v>
      </c>
      <c r="P36" s="193">
        <f t="shared" ca="1" si="5"/>
        <v>0</v>
      </c>
      <c r="Q36" s="193">
        <f t="shared" ca="1" si="5"/>
        <v>0</v>
      </c>
      <c r="R36" s="193">
        <f t="shared" ca="1" si="5"/>
        <v>0</v>
      </c>
      <c r="S36" s="193">
        <f t="shared" ca="1" si="5"/>
        <v>0</v>
      </c>
      <c r="T36" s="193">
        <f t="shared" ca="1" si="5"/>
        <v>0</v>
      </c>
      <c r="U36" s="193">
        <f t="shared" ca="1" si="5"/>
        <v>0</v>
      </c>
      <c r="V36" s="193">
        <f t="shared" ca="1" si="5"/>
        <v>0</v>
      </c>
      <c r="W36" s="193">
        <f t="shared" ca="1" si="5"/>
        <v>0</v>
      </c>
      <c r="X36" s="193">
        <f t="shared" ca="1" si="5"/>
        <v>0</v>
      </c>
      <c r="Y36" s="448">
        <f t="shared" ca="1" si="5"/>
        <v>0</v>
      </c>
      <c r="AA36" s="158"/>
    </row>
    <row r="37" spans="1:33" s="157" customFormat="1" thickBot="1" x14ac:dyDescent="0.25">
      <c r="A37" s="666" t="s">
        <v>258</v>
      </c>
      <c r="B37" s="449"/>
      <c r="C37" s="449"/>
      <c r="D37" s="449"/>
      <c r="E37" s="523"/>
      <c r="F37" s="449"/>
      <c r="G37" s="449"/>
      <c r="H37" s="449"/>
      <c r="I37" s="449"/>
      <c r="J37" s="449"/>
      <c r="K37" s="449"/>
      <c r="L37" s="449">
        <f ca="1">SUM(IF((DelPoint= "SPS")*IF((DType = "firm")+(DType = "econ")&gt;0,1,0)*(OFFSET(DelPoint,0,L3+2)&gt;0),OFFSET(DelPoint,0,L3+2),0))</f>
        <v>0</v>
      </c>
      <c r="M37" s="449">
        <f t="array" aca="1" ref="M37" ca="1">SUM(IF((DelPoint= "SPS")*IF((DType = "firm")+(DType = "econ")&gt;0,1,0)*(OFFSET(DelPoint,0,M3+2)&gt;0),OFFSET(DelPoint,0,M3+2),0))</f>
        <v>0</v>
      </c>
      <c r="N37" s="449">
        <f t="array" aca="1" ref="N37" ca="1">SUM(IF((DelPoint= "SPS")*IF((DType = "firm")+(DType = "econ")&gt;0,1,0)*(OFFSET(DelPoint,0,N3+2)&gt;0),OFFSET(DelPoint,0,N3+2),0))</f>
        <v>0</v>
      </c>
      <c r="O37" s="449">
        <f t="array" aca="1" ref="O37" ca="1">SUM(IF((DelPoint= "SPS")*IF((DType = "firm")+(DType = "econ")&gt;0,1,0)*(OFFSET(DelPoint,0,O3+2)&gt;0),OFFSET(DelPoint,0,O3+2),0))</f>
        <v>0</v>
      </c>
      <c r="P37" s="449">
        <f t="array" aca="1" ref="P37" ca="1">SUM(IF((DelPoint= "SPS")*IF((DType = "firm")+(DType = "econ")&gt;0,1,0)*(OFFSET(DelPoint,0,P3+2)&gt;0),OFFSET(DelPoint,0,P3+2),0))</f>
        <v>0</v>
      </c>
      <c r="Q37" s="449">
        <f t="array" aca="1" ref="Q37" ca="1">SUM(IF((DelPoint= "SPS")*IF((DType = "firm")+(DType = "econ")&gt;0,1,0)*(OFFSET(DelPoint,0,Q3+2)&gt;0),OFFSET(DelPoint,0,Q3+2),0))</f>
        <v>0</v>
      </c>
      <c r="R37" s="449">
        <f t="array" aca="1" ref="R37" ca="1">SUM(IF((DelPoint= "SPS")*IF((DType = "firm")+(DType = "econ")&gt;0,1,0)*(OFFSET(DelPoint,0,R3+2)&gt;0),OFFSET(DelPoint,0,R3+2),0))</f>
        <v>0</v>
      </c>
      <c r="S37" s="449">
        <f t="array" aca="1" ref="S37" ca="1">SUM(IF((DelPoint= "SPS")*IF((DType = "firm")+(DType = "econ")&gt;0,1,0)*(OFFSET(DelPoint,0,S3+2)&gt;0),OFFSET(DelPoint,0,S3+2),0))</f>
        <v>0</v>
      </c>
      <c r="T37" s="449">
        <f t="array" aca="1" ref="T37" ca="1">SUM(IF((DelPoint= "SPS")*IF((DType = "firm")+(DType = "econ")&gt;0,1,0)*(OFFSET(DelPoint,0,T3+2)&gt;0),OFFSET(DelPoint,0,T3+2),0))</f>
        <v>0</v>
      </c>
      <c r="U37" s="449">
        <f t="array" aca="1" ref="U37" ca="1">SUM(IF((DelPoint= "SPS")*IF((DType = "firm")+(DType = "econ")&gt;0,1,0)*(OFFSET(DelPoint,0,U3+2)&gt;0),OFFSET(DelPoint,0,U3+2),0))</f>
        <v>0</v>
      </c>
      <c r="V37" s="449">
        <f t="array" aca="1" ref="V37" ca="1">SUM(IF((DelPoint= "SPS")*IF((DType = "firm")+(DType = "econ")&gt;0,1,0)*(OFFSET(DelPoint,0,V3+2)&gt;0),OFFSET(DelPoint,0,V3+2),0))</f>
        <v>0</v>
      </c>
      <c r="W37" s="449">
        <f t="array" aca="1" ref="W37" ca="1">SUM(IF((DelPoint= "SPS")*IF((DType = "firm")+(DType = "econ")&gt;0,1,0)*(OFFSET(DelPoint,0,W3+2)&gt;0),OFFSET(DelPoint,0,W3+2),0))</f>
        <v>0</v>
      </c>
      <c r="X37" s="449">
        <f t="array" aca="1" ref="X37" ca="1">SUM(IF((DelPoint= "SPS")*IF((DType = "firm")+(DType = "econ")&gt;0,1,0)*(OFFSET(DelPoint,0,X3+2)&gt;0),OFFSET(DelPoint,0,X3+2),0))</f>
        <v>0</v>
      </c>
      <c r="Y37" s="450">
        <f t="array" aca="1" ref="Y37" ca="1">SUM(IF((DelPoint= "SPS")*IF((DType = "firm")+(DType = "econ")&gt;0,1,0)*(OFFSET(DelPoint,0,Y3+2)&gt;0),OFFSET(DelPoint,0,Y3+2),0))</f>
        <v>0</v>
      </c>
      <c r="AA37" s="158"/>
    </row>
    <row r="38" spans="1:33" s="157" customFormat="1" thickBot="1" x14ac:dyDescent="0.25">
      <c r="A38" s="662" t="s">
        <v>122</v>
      </c>
      <c r="B38" s="482">
        <f ca="1">SUM(B22:B37)+B4+B5</f>
        <v>931</v>
      </c>
      <c r="C38" s="482">
        <f ca="1">SUM(C22:C37)+C4+C5</f>
        <v>866</v>
      </c>
      <c r="D38" s="482">
        <f ca="1">SUM(D22:D37)+D4+D5</f>
        <v>851</v>
      </c>
      <c r="E38" s="482">
        <f ca="1">SUM(E22:E37)+E4+E5</f>
        <v>899</v>
      </c>
      <c r="F38" s="482">
        <f ca="1">SUM(F22:F37)+F4+F5</f>
        <v>896</v>
      </c>
      <c r="G38" s="482">
        <f t="shared" ref="G38:Y38" ca="1" si="6">SUM(G22:G37)+G4+G5</f>
        <v>969</v>
      </c>
      <c r="H38" s="482">
        <f t="shared" ca="1" si="6"/>
        <v>976</v>
      </c>
      <c r="I38" s="482">
        <f t="shared" ca="1" si="6"/>
        <v>1171</v>
      </c>
      <c r="J38" s="482">
        <f t="shared" ca="1" si="6"/>
        <v>1307</v>
      </c>
      <c r="K38" s="482">
        <f t="shared" ca="1" si="6"/>
        <v>1354</v>
      </c>
      <c r="L38" s="482">
        <f t="shared" ca="1" si="6"/>
        <v>1345</v>
      </c>
      <c r="M38" s="482">
        <f t="shared" ca="1" si="6"/>
        <v>1362</v>
      </c>
      <c r="N38" s="482">
        <f t="shared" ca="1" si="6"/>
        <v>1359</v>
      </c>
      <c r="O38" s="482">
        <f t="shared" ca="1" si="6"/>
        <v>1393</v>
      </c>
      <c r="P38" s="482">
        <f t="shared" ca="1" si="6"/>
        <v>1379</v>
      </c>
      <c r="Q38" s="482">
        <f t="shared" ca="1" si="6"/>
        <v>1360</v>
      </c>
      <c r="R38" s="482">
        <f t="shared" ca="1" si="6"/>
        <v>1368</v>
      </c>
      <c r="S38" s="482">
        <f t="shared" ca="1" si="6"/>
        <v>1377</v>
      </c>
      <c r="T38" s="482">
        <f t="shared" ca="1" si="6"/>
        <v>1254</v>
      </c>
      <c r="U38" s="482">
        <f t="shared" ca="1" si="6"/>
        <v>1301</v>
      </c>
      <c r="V38" s="482">
        <f t="shared" ca="1" si="6"/>
        <v>1314</v>
      </c>
      <c r="W38" s="482">
        <f t="shared" ca="1" si="6"/>
        <v>1265</v>
      </c>
      <c r="X38" s="482">
        <f t="shared" ca="1" si="6"/>
        <v>1092</v>
      </c>
      <c r="Y38" s="483">
        <f t="shared" ca="1" si="6"/>
        <v>1073</v>
      </c>
      <c r="Z38" s="331"/>
      <c r="AA38" s="158"/>
    </row>
    <row r="39" spans="1:33" s="157" customFormat="1" ht="16.5" thickBot="1" x14ac:dyDescent="0.25">
      <c r="A39" s="492" t="s">
        <v>265</v>
      </c>
      <c r="B39" s="493"/>
      <c r="C39" s="494"/>
      <c r="D39" s="494"/>
      <c r="E39" s="524"/>
      <c r="F39" s="494"/>
      <c r="G39" s="494"/>
      <c r="H39" s="494"/>
      <c r="I39" s="494"/>
      <c r="J39" s="494"/>
      <c r="K39" s="494"/>
      <c r="L39" s="494"/>
      <c r="M39" s="494"/>
      <c r="N39" s="494"/>
      <c r="O39" s="494"/>
      <c r="P39" s="494"/>
      <c r="Q39" s="494"/>
      <c r="R39" s="494"/>
      <c r="S39" s="494"/>
      <c r="T39" s="494"/>
      <c r="U39" s="494"/>
      <c r="V39" s="494"/>
      <c r="W39" s="494"/>
      <c r="X39" s="494"/>
      <c r="Y39" s="547"/>
      <c r="AA39" s="158"/>
    </row>
    <row r="40" spans="1:33" s="157" customFormat="1" thickTop="1" x14ac:dyDescent="0.2">
      <c r="A40" s="497"/>
      <c r="B40" s="498"/>
      <c r="C40" s="499"/>
      <c r="D40" s="499"/>
      <c r="E40" s="525"/>
      <c r="F40" s="499"/>
      <c r="G40" s="499"/>
      <c r="H40" s="499"/>
      <c r="I40" s="499"/>
      <c r="J40" s="499"/>
      <c r="K40" s="499"/>
      <c r="L40" s="499"/>
      <c r="M40" s="499"/>
      <c r="N40" s="499"/>
      <c r="O40" s="499"/>
      <c r="P40" s="499"/>
      <c r="Q40" s="499"/>
      <c r="R40" s="499"/>
      <c r="S40" s="499"/>
      <c r="T40" s="499"/>
      <c r="U40" s="499"/>
      <c r="V40" s="499"/>
      <c r="W40" s="499"/>
      <c r="X40" s="499"/>
      <c r="Y40" s="500"/>
      <c r="Z40" s="332" t="s">
        <v>123</v>
      </c>
      <c r="AA40" s="160" t="s">
        <v>124</v>
      </c>
      <c r="AF40" s="161"/>
      <c r="AG40" s="161"/>
    </row>
    <row r="41" spans="1:33" s="157" customFormat="1" ht="12.75" customHeight="1" x14ac:dyDescent="0.2">
      <c r="A41" s="501" t="s">
        <v>130</v>
      </c>
      <c r="B41" s="186">
        <v>34</v>
      </c>
      <c r="C41" s="186">
        <v>34</v>
      </c>
      <c r="D41" s="186">
        <v>34</v>
      </c>
      <c r="E41" s="526">
        <v>34</v>
      </c>
      <c r="F41" s="186">
        <v>35</v>
      </c>
      <c r="G41" s="186">
        <v>34</v>
      </c>
      <c r="H41" s="186">
        <v>34</v>
      </c>
      <c r="I41" s="186">
        <v>37</v>
      </c>
      <c r="J41" s="186">
        <v>56</v>
      </c>
      <c r="K41" s="186">
        <v>49</v>
      </c>
      <c r="L41" s="186">
        <v>40</v>
      </c>
      <c r="M41" s="186">
        <v>42</v>
      </c>
      <c r="N41" s="186">
        <v>51</v>
      </c>
      <c r="O41" s="186">
        <v>42</v>
      </c>
      <c r="P41" s="186">
        <v>39</v>
      </c>
      <c r="Q41" s="186">
        <v>39</v>
      </c>
      <c r="R41" s="186">
        <v>39</v>
      </c>
      <c r="S41" s="186">
        <v>39</v>
      </c>
      <c r="T41" s="186">
        <v>41</v>
      </c>
      <c r="U41" s="186">
        <v>39</v>
      </c>
      <c r="V41" s="186">
        <v>42</v>
      </c>
      <c r="W41" s="186">
        <v>38</v>
      </c>
      <c r="X41" s="186">
        <v>39</v>
      </c>
      <c r="Y41" s="502">
        <v>40</v>
      </c>
      <c r="Z41" s="333">
        <v>80</v>
      </c>
      <c r="AA41" s="198" t="e">
        <f ca="1">-Economics!D34/Economics!I34</f>
        <v>#NAME?</v>
      </c>
    </row>
    <row r="42" spans="1:33" s="157" customFormat="1" ht="15" customHeight="1" x14ac:dyDescent="0.2">
      <c r="A42" s="501" t="s">
        <v>131</v>
      </c>
      <c r="B42" s="186">
        <v>36</v>
      </c>
      <c r="C42" s="186">
        <v>38</v>
      </c>
      <c r="D42" s="186">
        <v>37</v>
      </c>
      <c r="E42" s="526">
        <v>49</v>
      </c>
      <c r="F42" s="186">
        <v>49</v>
      </c>
      <c r="G42" s="186">
        <v>49</v>
      </c>
      <c r="H42" s="186">
        <v>37</v>
      </c>
      <c r="I42" s="186">
        <v>36</v>
      </c>
      <c r="J42" s="186">
        <v>78</v>
      </c>
      <c r="K42" s="186">
        <v>78</v>
      </c>
      <c r="L42" s="186">
        <v>78</v>
      </c>
      <c r="M42" s="186">
        <v>78</v>
      </c>
      <c r="N42" s="186">
        <v>78</v>
      </c>
      <c r="O42" s="186">
        <v>78</v>
      </c>
      <c r="P42" s="186">
        <v>78</v>
      </c>
      <c r="Q42" s="186">
        <v>77</v>
      </c>
      <c r="R42" s="186">
        <v>77</v>
      </c>
      <c r="S42" s="186">
        <v>78</v>
      </c>
      <c r="T42" s="186">
        <v>59</v>
      </c>
      <c r="U42" s="186">
        <v>47</v>
      </c>
      <c r="V42" s="186">
        <v>47</v>
      </c>
      <c r="W42" s="186">
        <v>47</v>
      </c>
      <c r="X42" s="186">
        <v>47</v>
      </c>
      <c r="Y42" s="502">
        <v>47</v>
      </c>
      <c r="Z42" s="333">
        <v>78</v>
      </c>
      <c r="AA42" s="198" t="e">
        <f ca="1">-Economics!D35/Economics!I35</f>
        <v>#NAME?</v>
      </c>
    </row>
    <row r="43" spans="1:33" s="157" customFormat="1" ht="12.75" customHeight="1" x14ac:dyDescent="0.2">
      <c r="A43" s="503" t="s">
        <v>132</v>
      </c>
      <c r="B43" s="187">
        <v>83</v>
      </c>
      <c r="C43" s="187">
        <v>35</v>
      </c>
      <c r="D43" s="187">
        <v>38</v>
      </c>
      <c r="E43" s="527">
        <v>69</v>
      </c>
      <c r="F43" s="187">
        <v>70</v>
      </c>
      <c r="G43" s="187">
        <v>100</v>
      </c>
      <c r="H43" s="187">
        <v>51</v>
      </c>
      <c r="I43" s="187">
        <v>100</v>
      </c>
      <c r="J43" s="187">
        <v>100</v>
      </c>
      <c r="K43" s="187">
        <v>83</v>
      </c>
      <c r="L43" s="187">
        <v>81</v>
      </c>
      <c r="M43" s="187">
        <v>88</v>
      </c>
      <c r="N43" s="187">
        <v>95</v>
      </c>
      <c r="O43" s="187">
        <v>95</v>
      </c>
      <c r="P43" s="187">
        <v>95</v>
      </c>
      <c r="Q43" s="187">
        <v>89</v>
      </c>
      <c r="R43" s="187">
        <v>85</v>
      </c>
      <c r="S43" s="187">
        <v>92</v>
      </c>
      <c r="T43" s="187">
        <v>35</v>
      </c>
      <c r="U43" s="187">
        <v>51</v>
      </c>
      <c r="V43" s="187">
        <v>53</v>
      </c>
      <c r="W43" s="187">
        <v>44</v>
      </c>
      <c r="X43" s="187">
        <v>35</v>
      </c>
      <c r="Y43" s="504">
        <v>36</v>
      </c>
      <c r="Z43" s="335">
        <v>103</v>
      </c>
      <c r="AA43" s="199" t="e">
        <f ca="1">-Economics!D36/Economics!I36</f>
        <v>#NAME?</v>
      </c>
    </row>
    <row r="44" spans="1:33" s="157" customFormat="1" ht="12.75" customHeight="1" x14ac:dyDescent="0.2">
      <c r="A44" s="501" t="s">
        <v>49</v>
      </c>
      <c r="B44" s="186">
        <v>11</v>
      </c>
      <c r="C44" s="186">
        <v>10</v>
      </c>
      <c r="D44" s="186">
        <v>11</v>
      </c>
      <c r="E44" s="186">
        <v>10</v>
      </c>
      <c r="F44" s="186">
        <v>11</v>
      </c>
      <c r="G44" s="186">
        <v>10</v>
      </c>
      <c r="H44" s="186">
        <v>11</v>
      </c>
      <c r="I44" s="186">
        <v>25</v>
      </c>
      <c r="J44" s="186">
        <v>0</v>
      </c>
      <c r="K44" s="186">
        <v>0</v>
      </c>
      <c r="L44" s="186"/>
      <c r="M44" s="186">
        <v>0</v>
      </c>
      <c r="N44" s="186">
        <v>0</v>
      </c>
      <c r="O44" s="186">
        <v>0</v>
      </c>
      <c r="P44" s="186">
        <v>0</v>
      </c>
      <c r="Q44" s="186">
        <v>0</v>
      </c>
      <c r="R44" s="186">
        <v>0</v>
      </c>
      <c r="S44" s="186">
        <v>0</v>
      </c>
      <c r="T44" s="186">
        <v>0</v>
      </c>
      <c r="U44" s="186">
        <v>0</v>
      </c>
      <c r="V44" s="186">
        <v>0</v>
      </c>
      <c r="W44" s="186">
        <v>0</v>
      </c>
      <c r="X44" s="186">
        <v>0</v>
      </c>
      <c r="Y44" s="502">
        <v>0</v>
      </c>
      <c r="Z44" s="333">
        <v>40</v>
      </c>
      <c r="AA44" s="198" t="e">
        <f ca="1">-Economics!D37/Economics!I37</f>
        <v>#NAME?</v>
      </c>
    </row>
    <row r="45" spans="1:33" s="157" customFormat="1" ht="12.75" customHeight="1" x14ac:dyDescent="0.2">
      <c r="A45" s="501" t="s">
        <v>50</v>
      </c>
      <c r="B45" s="186">
        <v>12</v>
      </c>
      <c r="C45" s="186">
        <v>12</v>
      </c>
      <c r="D45" s="186">
        <v>12</v>
      </c>
      <c r="E45" s="186">
        <v>12</v>
      </c>
      <c r="F45" s="186">
        <v>12</v>
      </c>
      <c r="G45" s="186">
        <v>12</v>
      </c>
      <c r="H45" s="186">
        <v>12</v>
      </c>
      <c r="I45" s="186">
        <v>17</v>
      </c>
      <c r="J45" s="186">
        <v>0</v>
      </c>
      <c r="K45" s="186">
        <v>0</v>
      </c>
      <c r="L45" s="186">
        <v>0</v>
      </c>
      <c r="M45" s="186">
        <v>0</v>
      </c>
      <c r="N45" s="186">
        <v>0</v>
      </c>
      <c r="O45" s="186">
        <v>0</v>
      </c>
      <c r="P45" s="186">
        <v>0</v>
      </c>
      <c r="Q45" s="186">
        <v>0</v>
      </c>
      <c r="R45" s="186">
        <v>0</v>
      </c>
      <c r="S45" s="186">
        <v>0</v>
      </c>
      <c r="T45" s="186"/>
      <c r="U45" s="186">
        <v>0</v>
      </c>
      <c r="V45" s="186">
        <v>0</v>
      </c>
      <c r="W45" s="186">
        <v>0</v>
      </c>
      <c r="X45" s="186">
        <v>0</v>
      </c>
      <c r="Y45" s="502">
        <v>0</v>
      </c>
      <c r="Z45" s="333">
        <v>40</v>
      </c>
      <c r="AA45" s="198" t="e">
        <f ca="1">-Economics!D38/Economics!I38</f>
        <v>#NAME?</v>
      </c>
    </row>
    <row r="46" spans="1:33" s="157" customFormat="1" ht="12" customHeight="1" x14ac:dyDescent="0.2">
      <c r="A46" s="501" t="s">
        <v>51</v>
      </c>
      <c r="B46" s="186">
        <v>0</v>
      </c>
      <c r="C46" s="186">
        <v>0</v>
      </c>
      <c r="D46" s="186">
        <v>0</v>
      </c>
      <c r="E46" s="186">
        <v>0</v>
      </c>
      <c r="F46" s="186">
        <v>0</v>
      </c>
      <c r="G46" s="186">
        <v>0</v>
      </c>
      <c r="H46" s="186">
        <v>0</v>
      </c>
      <c r="I46" s="186">
        <v>0</v>
      </c>
      <c r="J46" s="186">
        <v>0</v>
      </c>
      <c r="K46" s="186">
        <v>0</v>
      </c>
      <c r="L46" s="186">
        <v>0</v>
      </c>
      <c r="M46" s="186">
        <v>0</v>
      </c>
      <c r="N46" s="186">
        <v>0</v>
      </c>
      <c r="O46" s="186">
        <v>0</v>
      </c>
      <c r="P46" s="186">
        <v>0</v>
      </c>
      <c r="Q46" s="186">
        <v>0</v>
      </c>
      <c r="R46" s="186">
        <v>0</v>
      </c>
      <c r="S46" s="186">
        <v>0</v>
      </c>
      <c r="T46" s="186">
        <v>0</v>
      </c>
      <c r="U46" s="186">
        <v>0</v>
      </c>
      <c r="V46" s="186">
        <v>0</v>
      </c>
      <c r="W46" s="186">
        <v>0</v>
      </c>
      <c r="X46" s="186">
        <v>0</v>
      </c>
      <c r="Y46" s="502">
        <v>0</v>
      </c>
      <c r="Z46" s="333">
        <v>108</v>
      </c>
      <c r="AA46" s="198" t="e">
        <f ca="1">-Economics!D39/Economics!I39</f>
        <v>#NAME?</v>
      </c>
    </row>
    <row r="47" spans="1:33" s="157" customFormat="1" ht="12.75" customHeight="1" x14ac:dyDescent="0.2">
      <c r="A47" s="501" t="s">
        <v>52</v>
      </c>
      <c r="B47" s="186">
        <v>0</v>
      </c>
      <c r="C47" s="186">
        <v>0</v>
      </c>
      <c r="D47" s="186">
        <v>0</v>
      </c>
      <c r="E47" s="186">
        <v>0</v>
      </c>
      <c r="F47" s="186">
        <v>0</v>
      </c>
      <c r="G47" s="186">
        <v>0</v>
      </c>
      <c r="H47" s="186">
        <v>0</v>
      </c>
      <c r="I47" s="186">
        <v>0</v>
      </c>
      <c r="J47" s="186">
        <v>0</v>
      </c>
      <c r="K47" s="186">
        <v>0</v>
      </c>
      <c r="L47" s="186">
        <v>0</v>
      </c>
      <c r="M47" s="186">
        <v>0</v>
      </c>
      <c r="N47" s="186">
        <v>0</v>
      </c>
      <c r="O47" s="186">
        <v>0</v>
      </c>
      <c r="P47" s="186">
        <v>0</v>
      </c>
      <c r="Q47" s="186">
        <v>0</v>
      </c>
      <c r="R47" s="186">
        <v>0</v>
      </c>
      <c r="S47" s="186">
        <v>0</v>
      </c>
      <c r="T47" s="186">
        <v>0</v>
      </c>
      <c r="U47" s="186">
        <v>0</v>
      </c>
      <c r="V47" s="186">
        <v>0</v>
      </c>
      <c r="W47" s="186">
        <v>0</v>
      </c>
      <c r="X47" s="186">
        <v>0</v>
      </c>
      <c r="Y47" s="502">
        <v>0</v>
      </c>
      <c r="Z47" s="333">
        <v>108</v>
      </c>
      <c r="AA47" s="198" t="e">
        <f ca="1">-Economics!D40/Economics!I40</f>
        <v>#NAME?</v>
      </c>
    </row>
    <row r="48" spans="1:33" s="157" customFormat="1" ht="12.75" customHeight="1" x14ac:dyDescent="0.2">
      <c r="A48" s="503" t="s">
        <v>133</v>
      </c>
      <c r="B48" s="187">
        <v>0</v>
      </c>
      <c r="C48" s="187">
        <v>0</v>
      </c>
      <c r="D48" s="187">
        <v>0</v>
      </c>
      <c r="E48" s="187">
        <v>0</v>
      </c>
      <c r="F48" s="187">
        <v>0</v>
      </c>
      <c r="G48" s="187">
        <v>0</v>
      </c>
      <c r="H48" s="187">
        <v>0</v>
      </c>
      <c r="I48" s="187">
        <v>0</v>
      </c>
      <c r="J48" s="187">
        <v>98</v>
      </c>
      <c r="K48" s="187">
        <v>192</v>
      </c>
      <c r="L48" s="187">
        <v>209</v>
      </c>
      <c r="M48" s="187">
        <v>212</v>
      </c>
      <c r="N48" s="187">
        <v>198</v>
      </c>
      <c r="O48" s="187">
        <v>208</v>
      </c>
      <c r="P48" s="187">
        <v>207</v>
      </c>
      <c r="Q48" s="187">
        <v>208</v>
      </c>
      <c r="R48" s="187">
        <v>209</v>
      </c>
      <c r="S48" s="187">
        <v>208</v>
      </c>
      <c r="T48" s="187">
        <v>171</v>
      </c>
      <c r="U48" s="187">
        <v>209</v>
      </c>
      <c r="V48" s="187">
        <v>212</v>
      </c>
      <c r="W48" s="187">
        <v>173</v>
      </c>
      <c r="X48" s="187">
        <v>156</v>
      </c>
      <c r="Y48" s="504">
        <v>125</v>
      </c>
      <c r="Z48" s="335">
        <v>212</v>
      </c>
      <c r="AA48" s="199" t="e">
        <f ca="1">-Economics!D41/Economics!I41</f>
        <v>#NAME?</v>
      </c>
    </row>
    <row r="49" spans="1:27" s="157" customFormat="1" ht="12.75" customHeight="1" x14ac:dyDescent="0.2">
      <c r="A49" s="503" t="s">
        <v>134</v>
      </c>
      <c r="B49" s="187">
        <v>4</v>
      </c>
      <c r="C49" s="187">
        <v>4</v>
      </c>
      <c r="D49" s="187">
        <v>4</v>
      </c>
      <c r="E49" s="187">
        <v>4</v>
      </c>
      <c r="F49" s="187">
        <v>4</v>
      </c>
      <c r="G49" s="187">
        <v>49</v>
      </c>
      <c r="H49" s="187">
        <v>17</v>
      </c>
      <c r="I49" s="187">
        <v>53</v>
      </c>
      <c r="J49" s="187">
        <v>67</v>
      </c>
      <c r="K49" s="187">
        <v>38</v>
      </c>
      <c r="L49" s="187">
        <v>23</v>
      </c>
      <c r="M49" s="187">
        <v>27</v>
      </c>
      <c r="N49" s="187">
        <v>18</v>
      </c>
      <c r="O49" s="187">
        <v>60</v>
      </c>
      <c r="P49" s="187">
        <v>48</v>
      </c>
      <c r="Q49" s="187">
        <v>25</v>
      </c>
      <c r="R49" s="187">
        <v>22</v>
      </c>
      <c r="S49" s="187">
        <v>27</v>
      </c>
      <c r="T49" s="187">
        <v>17</v>
      </c>
      <c r="U49" s="187">
        <v>16</v>
      </c>
      <c r="V49" s="187">
        <v>16</v>
      </c>
      <c r="W49" s="187">
        <v>16</v>
      </c>
      <c r="X49" s="187">
        <v>14</v>
      </c>
      <c r="Y49" s="187">
        <v>15</v>
      </c>
      <c r="Z49" s="335">
        <v>68</v>
      </c>
      <c r="AA49" s="199" t="e">
        <f ca="1">-Economics!D42/Economics!I42</f>
        <v>#NAME?</v>
      </c>
    </row>
    <row r="50" spans="1:27" s="157" customFormat="1" ht="12.75" customHeight="1" x14ac:dyDescent="0.2">
      <c r="A50" s="501" t="s">
        <v>135</v>
      </c>
      <c r="B50" s="186">
        <v>27</v>
      </c>
      <c r="C50" s="186">
        <v>28</v>
      </c>
      <c r="D50" s="186">
        <v>28</v>
      </c>
      <c r="E50" s="186">
        <v>28</v>
      </c>
      <c r="F50" s="186">
        <v>28</v>
      </c>
      <c r="G50" s="186">
        <v>28</v>
      </c>
      <c r="H50" s="186">
        <v>28</v>
      </c>
      <c r="I50" s="186">
        <v>28</v>
      </c>
      <c r="J50" s="186">
        <v>34</v>
      </c>
      <c r="K50" s="186">
        <v>33</v>
      </c>
      <c r="L50" s="186">
        <v>39</v>
      </c>
      <c r="M50" s="186">
        <v>42</v>
      </c>
      <c r="N50" s="186">
        <v>42</v>
      </c>
      <c r="O50" s="186">
        <v>48</v>
      </c>
      <c r="P50" s="186">
        <v>45</v>
      </c>
      <c r="Q50" s="186">
        <v>45</v>
      </c>
      <c r="R50" s="186">
        <v>45</v>
      </c>
      <c r="S50" s="186">
        <v>45</v>
      </c>
      <c r="T50" s="186">
        <v>45</v>
      </c>
      <c r="U50" s="186">
        <v>45</v>
      </c>
      <c r="V50" s="186">
        <v>45</v>
      </c>
      <c r="W50" s="186">
        <v>45</v>
      </c>
      <c r="X50" s="186">
        <v>45</v>
      </c>
      <c r="Y50" s="502">
        <v>45</v>
      </c>
      <c r="Z50" s="333">
        <v>48</v>
      </c>
      <c r="AA50" s="198" t="e">
        <f ca="1">-Economics!D43/Economics!I43</f>
        <v>#NAME?</v>
      </c>
    </row>
    <row r="51" spans="1:27" s="157" customFormat="1" ht="12.75" customHeight="1" x14ac:dyDescent="0.2">
      <c r="A51" s="501" t="s">
        <v>136</v>
      </c>
      <c r="B51" s="186">
        <v>27</v>
      </c>
      <c r="C51" s="186">
        <v>28</v>
      </c>
      <c r="D51" s="186">
        <v>28</v>
      </c>
      <c r="E51" s="186">
        <v>28</v>
      </c>
      <c r="F51" s="186">
        <v>28</v>
      </c>
      <c r="G51" s="186">
        <v>28</v>
      </c>
      <c r="H51" s="186">
        <v>28</v>
      </c>
      <c r="I51" s="186">
        <v>28</v>
      </c>
      <c r="J51" s="186">
        <v>35</v>
      </c>
      <c r="K51" s="186">
        <v>40</v>
      </c>
      <c r="L51" s="186">
        <v>39</v>
      </c>
      <c r="M51" s="186">
        <v>40</v>
      </c>
      <c r="N51" s="186">
        <v>40</v>
      </c>
      <c r="O51" s="186">
        <v>40</v>
      </c>
      <c r="P51" s="186">
        <v>37</v>
      </c>
      <c r="Q51" s="186">
        <v>37</v>
      </c>
      <c r="R51" s="186">
        <v>37</v>
      </c>
      <c r="S51" s="186">
        <v>37</v>
      </c>
      <c r="T51" s="186">
        <v>38</v>
      </c>
      <c r="U51" s="186">
        <v>38</v>
      </c>
      <c r="V51" s="186">
        <v>38</v>
      </c>
      <c r="W51" s="186">
        <v>38</v>
      </c>
      <c r="X51" s="186">
        <v>38</v>
      </c>
      <c r="Y51" s="502">
        <v>38</v>
      </c>
      <c r="Z51" s="333">
        <v>44</v>
      </c>
      <c r="AA51" s="198" t="e">
        <f ca="1">-Economics!D44/Economics!I44</f>
        <v>#NAME?</v>
      </c>
    </row>
    <row r="52" spans="1:27" s="157" customFormat="1" ht="12.75" customHeight="1" thickBot="1" x14ac:dyDescent="0.25">
      <c r="A52" s="501" t="s">
        <v>137</v>
      </c>
      <c r="B52" s="186">
        <v>0</v>
      </c>
      <c r="C52" s="186">
        <v>0</v>
      </c>
      <c r="D52" s="186">
        <v>0</v>
      </c>
      <c r="E52" s="186">
        <v>0</v>
      </c>
      <c r="F52" s="186">
        <v>0</v>
      </c>
      <c r="G52" s="186">
        <v>0</v>
      </c>
      <c r="H52" s="186">
        <v>0</v>
      </c>
      <c r="I52" s="186">
        <v>0</v>
      </c>
      <c r="J52" s="186"/>
      <c r="K52" s="186">
        <v>0</v>
      </c>
      <c r="L52" s="186"/>
      <c r="M52" s="186"/>
      <c r="N52" s="186"/>
      <c r="O52" s="186"/>
      <c r="P52" s="186">
        <v>0</v>
      </c>
      <c r="Q52" s="186">
        <v>0</v>
      </c>
      <c r="R52" s="186">
        <v>0</v>
      </c>
      <c r="S52" s="186"/>
      <c r="T52" s="186"/>
      <c r="U52" s="186">
        <v>0</v>
      </c>
      <c r="V52" s="186"/>
      <c r="W52" s="186">
        <v>0</v>
      </c>
      <c r="X52" s="186">
        <v>0</v>
      </c>
      <c r="Y52" s="502">
        <v>0</v>
      </c>
      <c r="Z52" s="336">
        <v>130</v>
      </c>
      <c r="AA52" s="200" t="e">
        <f ca="1">-Economics!D45/Economics!I45</f>
        <v>#NAME?</v>
      </c>
    </row>
    <row r="53" spans="1:27" s="157" customFormat="1" ht="12.75" customHeight="1" thickTop="1" x14ac:dyDescent="0.2">
      <c r="A53" s="501" t="s">
        <v>127</v>
      </c>
      <c r="B53" s="186">
        <v>139</v>
      </c>
      <c r="C53" s="186">
        <v>139</v>
      </c>
      <c r="D53" s="186">
        <v>139</v>
      </c>
      <c r="E53" s="186">
        <v>139</v>
      </c>
      <c r="F53" s="186">
        <v>139</v>
      </c>
      <c r="G53" s="186">
        <v>139</v>
      </c>
      <c r="H53" s="186">
        <v>139</v>
      </c>
      <c r="I53" s="186">
        <v>139</v>
      </c>
      <c r="J53" s="186">
        <v>138</v>
      </c>
      <c r="K53" s="186">
        <v>138</v>
      </c>
      <c r="L53" s="186">
        <v>138</v>
      </c>
      <c r="M53" s="186">
        <v>138</v>
      </c>
      <c r="N53" s="186">
        <v>138</v>
      </c>
      <c r="O53" s="186">
        <v>138</v>
      </c>
      <c r="P53" s="186">
        <v>139</v>
      </c>
      <c r="Q53" s="186">
        <v>140</v>
      </c>
      <c r="R53" s="186">
        <v>141</v>
      </c>
      <c r="S53" s="186">
        <v>143</v>
      </c>
      <c r="T53" s="186">
        <v>145</v>
      </c>
      <c r="U53" s="186">
        <v>147</v>
      </c>
      <c r="V53" s="186">
        <v>148</v>
      </c>
      <c r="W53" s="186">
        <v>149</v>
      </c>
      <c r="X53" s="186">
        <v>151</v>
      </c>
      <c r="Y53" s="502">
        <v>154</v>
      </c>
      <c r="Z53" s="333">
        <v>198</v>
      </c>
      <c r="AA53" s="196"/>
    </row>
    <row r="54" spans="1:27" s="157" customFormat="1" ht="12.75" customHeight="1" x14ac:dyDescent="0.2">
      <c r="A54" s="501" t="s">
        <v>128</v>
      </c>
      <c r="B54" s="186">
        <v>139</v>
      </c>
      <c r="C54" s="186">
        <v>139</v>
      </c>
      <c r="D54" s="186">
        <v>139</v>
      </c>
      <c r="E54" s="186">
        <v>139</v>
      </c>
      <c r="F54" s="186">
        <v>139</v>
      </c>
      <c r="G54" s="186">
        <v>139</v>
      </c>
      <c r="H54" s="186">
        <v>139</v>
      </c>
      <c r="I54" s="186">
        <v>139</v>
      </c>
      <c r="J54" s="186">
        <v>138</v>
      </c>
      <c r="K54" s="186">
        <v>138</v>
      </c>
      <c r="L54" s="186">
        <v>138</v>
      </c>
      <c r="M54" s="186">
        <v>138</v>
      </c>
      <c r="N54" s="186">
        <v>138</v>
      </c>
      <c r="O54" s="186">
        <v>138</v>
      </c>
      <c r="P54" s="186">
        <v>139</v>
      </c>
      <c r="Q54" s="186">
        <v>140</v>
      </c>
      <c r="R54" s="186">
        <v>141</v>
      </c>
      <c r="S54" s="186">
        <v>143</v>
      </c>
      <c r="T54" s="186">
        <v>145</v>
      </c>
      <c r="U54" s="186">
        <v>147</v>
      </c>
      <c r="V54" s="186">
        <v>148</v>
      </c>
      <c r="W54" s="186">
        <v>149</v>
      </c>
      <c r="X54" s="186">
        <v>151</v>
      </c>
      <c r="Y54" s="502">
        <v>154</v>
      </c>
      <c r="Z54" s="333">
        <v>198</v>
      </c>
      <c r="AA54" s="196"/>
    </row>
    <row r="55" spans="1:27" s="157" customFormat="1" ht="12.75" customHeight="1" x14ac:dyDescent="0.2">
      <c r="A55" s="501" t="s">
        <v>129</v>
      </c>
      <c r="B55" s="186">
        <v>139</v>
      </c>
      <c r="C55" s="186">
        <v>138</v>
      </c>
      <c r="D55" s="186">
        <v>139</v>
      </c>
      <c r="E55" s="186">
        <v>139</v>
      </c>
      <c r="F55" s="186">
        <v>139</v>
      </c>
      <c r="G55" s="186">
        <v>139</v>
      </c>
      <c r="H55" s="186">
        <v>139</v>
      </c>
      <c r="I55" s="186">
        <v>139</v>
      </c>
      <c r="J55" s="186">
        <v>138</v>
      </c>
      <c r="K55" s="186">
        <v>138</v>
      </c>
      <c r="L55" s="186">
        <v>138</v>
      </c>
      <c r="M55" s="186">
        <v>138</v>
      </c>
      <c r="N55" s="186">
        <v>138</v>
      </c>
      <c r="O55" s="186">
        <v>138</v>
      </c>
      <c r="P55" s="186">
        <v>138</v>
      </c>
      <c r="Q55" s="186">
        <v>140</v>
      </c>
      <c r="R55" s="186">
        <v>141</v>
      </c>
      <c r="S55" s="186">
        <v>143</v>
      </c>
      <c r="T55" s="186">
        <v>145</v>
      </c>
      <c r="U55" s="186">
        <v>147</v>
      </c>
      <c r="V55" s="186">
        <v>148</v>
      </c>
      <c r="W55" s="186">
        <v>149</v>
      </c>
      <c r="X55" s="186">
        <v>151</v>
      </c>
      <c r="Y55" s="502">
        <v>154</v>
      </c>
      <c r="Z55" s="333">
        <v>198</v>
      </c>
      <c r="AA55" s="196"/>
    </row>
    <row r="56" spans="1:27" s="157" customFormat="1" ht="12.75" customHeight="1" x14ac:dyDescent="0.2">
      <c r="A56" s="501" t="s">
        <v>125</v>
      </c>
      <c r="B56" s="186">
        <v>105</v>
      </c>
      <c r="C56" s="186">
        <v>105</v>
      </c>
      <c r="D56" s="186">
        <v>80</v>
      </c>
      <c r="E56" s="186">
        <v>79</v>
      </c>
      <c r="F56" s="186">
        <v>79</v>
      </c>
      <c r="G56" s="186">
        <v>80</v>
      </c>
      <c r="H56" s="186">
        <v>30</v>
      </c>
      <c r="I56" s="186">
        <v>104</v>
      </c>
      <c r="J56" s="186">
        <v>105</v>
      </c>
      <c r="K56" s="186">
        <v>105</v>
      </c>
      <c r="L56" s="186">
        <v>105</v>
      </c>
      <c r="M56" s="186">
        <v>105</v>
      </c>
      <c r="N56" s="186">
        <v>105</v>
      </c>
      <c r="O56" s="186">
        <v>102</v>
      </c>
      <c r="P56" s="186">
        <v>105</v>
      </c>
      <c r="Q56" s="186">
        <v>105</v>
      </c>
      <c r="R56" s="186">
        <v>105</v>
      </c>
      <c r="S56" s="186">
        <v>105</v>
      </c>
      <c r="T56" s="186">
        <v>104</v>
      </c>
      <c r="U56" s="186">
        <v>105</v>
      </c>
      <c r="V56" s="186">
        <v>105</v>
      </c>
      <c r="W56" s="186">
        <v>105</v>
      </c>
      <c r="X56" s="186">
        <v>105</v>
      </c>
      <c r="Y56" s="502">
        <v>103</v>
      </c>
      <c r="Z56" s="333">
        <v>52</v>
      </c>
      <c r="AA56" s="196"/>
    </row>
    <row r="57" spans="1:27" s="157" customFormat="1" ht="12.75" customHeight="1" thickBot="1" x14ac:dyDescent="0.25">
      <c r="A57" s="501" t="s">
        <v>126</v>
      </c>
      <c r="B57" s="186"/>
      <c r="C57" s="186"/>
      <c r="D57" s="186"/>
      <c r="E57" s="186"/>
      <c r="F57" s="186"/>
      <c r="G57" s="186"/>
      <c r="H57" s="186"/>
      <c r="I57" s="186"/>
      <c r="J57" s="186"/>
      <c r="K57" s="186"/>
      <c r="L57" s="186"/>
      <c r="M57" s="186"/>
      <c r="N57" s="186"/>
      <c r="O57" s="186"/>
      <c r="P57" s="186"/>
      <c r="Q57" s="186"/>
      <c r="R57" s="186"/>
      <c r="S57" s="186"/>
      <c r="T57" s="186"/>
      <c r="U57" s="186"/>
      <c r="V57" s="186"/>
      <c r="W57" s="186"/>
      <c r="X57" s="186"/>
      <c r="Y57" s="502"/>
      <c r="Z57" s="333">
        <v>52</v>
      </c>
      <c r="AA57" s="196"/>
    </row>
    <row r="58" spans="1:27" s="157" customFormat="1" ht="13.5" customHeight="1" thickBot="1" x14ac:dyDescent="0.25">
      <c r="A58" s="505" t="s">
        <v>10</v>
      </c>
      <c r="B58" s="506">
        <f ca="1">B59-B38</f>
        <v>-12</v>
      </c>
      <c r="C58" s="506">
        <f t="shared" ref="C58:Y58" ca="1" si="7">C59-C38</f>
        <v>7</v>
      </c>
      <c r="D58" s="506">
        <f t="shared" ca="1" si="7"/>
        <v>1</v>
      </c>
      <c r="E58" s="506">
        <f t="shared" ca="1" si="7"/>
        <v>-6</v>
      </c>
      <c r="F58" s="506">
        <f ca="1">F59-F38</f>
        <v>0</v>
      </c>
      <c r="G58" s="506">
        <f t="shared" ca="1" si="7"/>
        <v>1</v>
      </c>
      <c r="H58" s="506">
        <f ca="1">H59-H38</f>
        <v>2</v>
      </c>
      <c r="I58" s="506">
        <f t="shared" ca="1" si="7"/>
        <v>-13</v>
      </c>
      <c r="J58" s="506">
        <f t="shared" ca="1" si="7"/>
        <v>-7</v>
      </c>
      <c r="K58" s="506">
        <f ca="1">K59-K38</f>
        <v>-9</v>
      </c>
      <c r="L58" s="506">
        <f t="shared" ca="1" si="7"/>
        <v>-4</v>
      </c>
      <c r="M58" s="506">
        <f t="shared" ref="M58:S58" ca="1" si="8">M59-M38</f>
        <v>-1</v>
      </c>
      <c r="N58" s="506">
        <f t="shared" ca="1" si="8"/>
        <v>-5</v>
      </c>
      <c r="O58" s="506">
        <f t="shared" ca="1" si="8"/>
        <v>7</v>
      </c>
      <c r="P58" s="506">
        <f t="shared" ca="1" si="8"/>
        <v>4</v>
      </c>
      <c r="Q58" s="506">
        <f t="shared" ca="1" si="8"/>
        <v>-2</v>
      </c>
      <c r="R58" s="506">
        <f t="shared" ca="1" si="8"/>
        <v>-5</v>
      </c>
      <c r="S58" s="506">
        <f t="shared" ca="1" si="8"/>
        <v>-4</v>
      </c>
      <c r="T58" s="506">
        <f t="shared" ca="1" si="7"/>
        <v>4</v>
      </c>
      <c r="U58" s="506">
        <f t="shared" ca="1" si="7"/>
        <v>3</v>
      </c>
      <c r="V58" s="506">
        <f t="shared" ca="1" si="7"/>
        <v>1</v>
      </c>
      <c r="W58" s="506">
        <f t="shared" ca="1" si="7"/>
        <v>1</v>
      </c>
      <c r="X58" s="506">
        <f t="shared" ca="1" si="7"/>
        <v>3</v>
      </c>
      <c r="Y58" s="506">
        <f t="shared" ca="1" si="7"/>
        <v>1</v>
      </c>
      <c r="Z58" s="334">
        <f>SUM(Z41:Z55)+Z41+Z42+Z43+Z48+Z49+Z50+Z51+Z52</f>
        <v>2416</v>
      </c>
      <c r="AA58" s="197" t="e">
        <f ca="1">SUM(AA41:AA55)</f>
        <v>#NAME?</v>
      </c>
    </row>
    <row r="59" spans="1:27" s="157" customFormat="1" ht="12" x14ac:dyDescent="0.2">
      <c r="A59" s="495"/>
      <c r="B59" s="496">
        <f t="shared" ref="B59:Y59" ca="1" si="9">SUM(B41:B57)-SUM(B7:B20)</f>
        <v>919</v>
      </c>
      <c r="C59" s="496">
        <f t="shared" ca="1" si="9"/>
        <v>873</v>
      </c>
      <c r="D59" s="496">
        <f t="shared" ca="1" si="9"/>
        <v>852</v>
      </c>
      <c r="E59" s="496">
        <f t="shared" ca="1" si="9"/>
        <v>893</v>
      </c>
      <c r="F59" s="496">
        <f t="shared" ca="1" si="9"/>
        <v>896</v>
      </c>
      <c r="G59" s="496">
        <f t="shared" ca="1" si="9"/>
        <v>970</v>
      </c>
      <c r="H59" s="496">
        <f t="shared" ca="1" si="9"/>
        <v>978</v>
      </c>
      <c r="I59" s="496">
        <f t="shared" ca="1" si="9"/>
        <v>1158</v>
      </c>
      <c r="J59" s="496">
        <f t="shared" ca="1" si="9"/>
        <v>1300</v>
      </c>
      <c r="K59" s="496">
        <f t="shared" ca="1" si="9"/>
        <v>1345</v>
      </c>
      <c r="L59" s="496">
        <f t="shared" ca="1" si="9"/>
        <v>1341</v>
      </c>
      <c r="M59" s="496">
        <f t="shared" ca="1" si="9"/>
        <v>1361</v>
      </c>
      <c r="N59" s="496">
        <f t="shared" ca="1" si="9"/>
        <v>1354</v>
      </c>
      <c r="O59" s="496">
        <f t="shared" ca="1" si="9"/>
        <v>1400</v>
      </c>
      <c r="P59" s="496">
        <f t="shared" ca="1" si="9"/>
        <v>1383</v>
      </c>
      <c r="Q59" s="496">
        <f t="shared" ca="1" si="9"/>
        <v>1358</v>
      </c>
      <c r="R59" s="496">
        <f ca="1">SUM(R41:R57)-SUM(R7:R20)</f>
        <v>1363</v>
      </c>
      <c r="S59" s="496">
        <f t="shared" ca="1" si="9"/>
        <v>1373</v>
      </c>
      <c r="T59" s="496">
        <f ca="1">SUM(T41:T57)-SUM(T7:T20)</f>
        <v>1258</v>
      </c>
      <c r="U59" s="496">
        <f t="shared" ca="1" si="9"/>
        <v>1304</v>
      </c>
      <c r="V59" s="496">
        <f t="shared" ca="1" si="9"/>
        <v>1315</v>
      </c>
      <c r="W59" s="496">
        <f t="shared" ca="1" si="9"/>
        <v>1266</v>
      </c>
      <c r="X59" s="496">
        <f t="shared" ca="1" si="9"/>
        <v>1095</v>
      </c>
      <c r="Y59" s="496">
        <f t="shared" ca="1" si="9"/>
        <v>1074</v>
      </c>
      <c r="Z59" s="201" t="e">
        <f ca="1">SUM(Economics!D28:D45)</f>
        <v>#NAME?</v>
      </c>
      <c r="AA59" s="202" t="e">
        <f ca="1">Economics!D47</f>
        <v>#N/A</v>
      </c>
    </row>
    <row r="60" spans="1:27" s="157" customFormat="1" ht="14.25" customHeight="1" thickBot="1" x14ac:dyDescent="0.25">
      <c r="A60" s="191" t="s">
        <v>138</v>
      </c>
      <c r="B60" s="162"/>
      <c r="C60" s="162"/>
      <c r="D60" s="162"/>
      <c r="E60" s="162"/>
      <c r="F60" s="162"/>
      <c r="G60" s="162"/>
      <c r="H60" s="162"/>
      <c r="I60" s="162"/>
      <c r="J60" s="162"/>
      <c r="K60" s="162"/>
      <c r="L60" s="162"/>
      <c r="M60" s="162"/>
      <c r="N60" s="162"/>
      <c r="O60" s="162"/>
      <c r="P60" s="162"/>
      <c r="Q60" s="162"/>
      <c r="R60" s="162"/>
      <c r="S60" s="162"/>
      <c r="T60" s="162"/>
      <c r="U60" s="162"/>
      <c r="V60" s="162"/>
      <c r="W60" s="162"/>
      <c r="X60" s="162"/>
      <c r="Y60" s="163"/>
      <c r="Z60" s="203"/>
      <c r="AA60" s="204"/>
    </row>
    <row r="61" spans="1:27" s="157" customFormat="1" ht="13.5" thickTop="1" thickBot="1" x14ac:dyDescent="0.25">
      <c r="A61" s="190" t="s">
        <v>261</v>
      </c>
      <c r="B61" s="164">
        <f t="shared" ref="B61:Y61" ca="1" si="10">IF(-SUM(B19:B20,B35:B37)&gt;134,"err",-SUM(B19:B20,))</f>
        <v>0</v>
      </c>
      <c r="C61" s="164">
        <f t="shared" ca="1" si="10"/>
        <v>0</v>
      </c>
      <c r="D61" s="164">
        <f t="shared" ca="1" si="10"/>
        <v>0</v>
      </c>
      <c r="E61" s="164">
        <f t="shared" ca="1" si="10"/>
        <v>0</v>
      </c>
      <c r="F61" s="164">
        <f t="shared" ca="1" si="10"/>
        <v>0</v>
      </c>
      <c r="G61" s="164">
        <f t="shared" ca="1" si="10"/>
        <v>0</v>
      </c>
      <c r="H61" s="164">
        <f t="shared" ca="1" si="10"/>
        <v>0</v>
      </c>
      <c r="I61" s="164">
        <f t="shared" ca="1" si="10"/>
        <v>0</v>
      </c>
      <c r="J61" s="164">
        <f t="shared" ca="1" si="10"/>
        <v>0</v>
      </c>
      <c r="K61" s="164">
        <f t="shared" ca="1" si="10"/>
        <v>0</v>
      </c>
      <c r="L61" s="164">
        <f t="shared" ca="1" si="10"/>
        <v>0</v>
      </c>
      <c r="M61" s="164">
        <f t="shared" ca="1" si="10"/>
        <v>0</v>
      </c>
      <c r="N61" s="164">
        <f t="shared" ca="1" si="10"/>
        <v>0</v>
      </c>
      <c r="O61" s="164">
        <f t="shared" ca="1" si="10"/>
        <v>0</v>
      </c>
      <c r="P61" s="164">
        <f t="shared" ca="1" si="10"/>
        <v>0</v>
      </c>
      <c r="Q61" s="164">
        <f t="shared" ca="1" si="10"/>
        <v>0</v>
      </c>
      <c r="R61" s="164">
        <f t="shared" ca="1" si="10"/>
        <v>0</v>
      </c>
      <c r="S61" s="164">
        <f t="shared" ca="1" si="10"/>
        <v>0</v>
      </c>
      <c r="T61" s="164">
        <f t="shared" ca="1" si="10"/>
        <v>0</v>
      </c>
      <c r="U61" s="164">
        <f t="shared" ca="1" si="10"/>
        <v>0</v>
      </c>
      <c r="V61" s="164">
        <f t="shared" ca="1" si="10"/>
        <v>0</v>
      </c>
      <c r="W61" s="164">
        <f t="shared" ca="1" si="10"/>
        <v>0</v>
      </c>
      <c r="X61" s="164">
        <f t="shared" ca="1" si="10"/>
        <v>0</v>
      </c>
      <c r="Y61" s="164">
        <f t="shared" ca="1" si="10"/>
        <v>0</v>
      </c>
      <c r="Z61" s="205" t="s">
        <v>139</v>
      </c>
      <c r="AA61" s="206" t="e">
        <f ca="1">AA59</f>
        <v>#N/A</v>
      </c>
    </row>
    <row r="62" spans="1:27" s="157" customFormat="1" ht="14.25" customHeight="1" thickTop="1" x14ac:dyDescent="0.2">
      <c r="A62" s="190" t="s">
        <v>140</v>
      </c>
      <c r="B62" s="164">
        <f t="shared" ref="B62:Y62" ca="1" si="11">-SUM(B12:B15,B29:B32,B22) + SUM(B53:B55)</f>
        <v>249</v>
      </c>
      <c r="C62" s="164">
        <f t="shared" ca="1" si="11"/>
        <v>293</v>
      </c>
      <c r="D62" s="164">
        <f t="shared" ca="1" si="11"/>
        <v>294</v>
      </c>
      <c r="E62" s="164">
        <f t="shared" ca="1" si="11"/>
        <v>275</v>
      </c>
      <c r="F62" s="164">
        <f t="shared" ca="1" si="11"/>
        <v>294</v>
      </c>
      <c r="G62" s="164">
        <f t="shared" ca="1" si="11"/>
        <v>294</v>
      </c>
      <c r="H62" s="164">
        <f t="shared" ca="1" si="11"/>
        <v>487</v>
      </c>
      <c r="I62" s="164">
        <f t="shared" ca="1" si="11"/>
        <v>437</v>
      </c>
      <c r="J62" s="164">
        <f ca="1">-SUM(J12:J15,J29:J32,J22) + SUM(J53:J55)</f>
        <v>374</v>
      </c>
      <c r="K62" s="164">
        <f t="shared" ca="1" si="11"/>
        <v>374</v>
      </c>
      <c r="L62" s="164">
        <f t="shared" ca="1" si="11"/>
        <v>409</v>
      </c>
      <c r="M62" s="164">
        <f t="shared" ca="1" si="11"/>
        <v>398</v>
      </c>
      <c r="N62" s="164">
        <f t="shared" ca="1" si="11"/>
        <v>453</v>
      </c>
      <c r="O62" s="164">
        <f t="shared" ca="1" si="11"/>
        <v>407</v>
      </c>
      <c r="P62" s="164">
        <f t="shared" ca="1" si="11"/>
        <v>407</v>
      </c>
      <c r="Q62" s="164">
        <f t="shared" ca="1" si="11"/>
        <v>420</v>
      </c>
      <c r="R62" s="164">
        <f t="shared" ca="1" si="11"/>
        <v>450</v>
      </c>
      <c r="S62" s="164">
        <f t="shared" ca="1" si="11"/>
        <v>433</v>
      </c>
      <c r="T62" s="164">
        <f t="shared" ca="1" si="11"/>
        <v>441</v>
      </c>
      <c r="U62" s="164">
        <f t="shared" ca="1" si="11"/>
        <v>406</v>
      </c>
      <c r="V62" s="164">
        <f t="shared" ca="1" si="11"/>
        <v>429</v>
      </c>
      <c r="W62" s="164">
        <f t="shared" ca="1" si="11"/>
        <v>392</v>
      </c>
      <c r="X62" s="164">
        <f t="shared" ca="1" si="11"/>
        <v>230</v>
      </c>
      <c r="Y62" s="165">
        <f t="shared" ca="1" si="11"/>
        <v>199</v>
      </c>
      <c r="Z62" s="188"/>
      <c r="AA62" s="158"/>
    </row>
    <row r="63" spans="1:27" s="157" customFormat="1" ht="12" x14ac:dyDescent="0.2">
      <c r="A63" s="190" t="s">
        <v>141</v>
      </c>
      <c r="B63" s="164">
        <f t="shared" ref="B63:L63" ca="1" si="12">-SUM(B8:B11,B25:B28) + SUM(B56:B57)</f>
        <v>45</v>
      </c>
      <c r="C63" s="164">
        <f t="shared" ca="1" si="12"/>
        <v>45</v>
      </c>
      <c r="D63" s="164">
        <f t="shared" ca="1" si="12"/>
        <v>20</v>
      </c>
      <c r="E63" s="164">
        <f t="shared" ca="1" si="12"/>
        <v>19</v>
      </c>
      <c r="F63" s="164">
        <f t="shared" ca="1" si="12"/>
        <v>19</v>
      </c>
      <c r="G63" s="164">
        <f t="shared" ca="1" si="12"/>
        <v>20</v>
      </c>
      <c r="H63" s="164">
        <f t="shared" ca="1" si="12"/>
        <v>-30</v>
      </c>
      <c r="I63" s="164">
        <f t="shared" ca="1" si="12"/>
        <v>-12</v>
      </c>
      <c r="J63" s="164">
        <f t="shared" ca="1" si="12"/>
        <v>-40</v>
      </c>
      <c r="K63" s="164">
        <f t="shared" ca="1" si="12"/>
        <v>-35</v>
      </c>
      <c r="L63" s="164">
        <f t="shared" ca="1" si="12"/>
        <v>-35</v>
      </c>
      <c r="M63" s="164">
        <f ca="1">-SUM(M8:M11,M25:M28) + SUM(M57:M57)</f>
        <v>-140</v>
      </c>
      <c r="N63" s="164">
        <f t="shared" ref="N63:Y63" ca="1" si="13">-SUM(N8:N11,N25:N28) + SUM(N56:N57)</f>
        <v>-65</v>
      </c>
      <c r="O63" s="164">
        <f t="shared" ca="1" si="13"/>
        <v>-48</v>
      </c>
      <c r="P63" s="164">
        <f t="shared" ca="1" si="13"/>
        <v>-15</v>
      </c>
      <c r="Q63" s="164">
        <f t="shared" ca="1" si="13"/>
        <v>-25</v>
      </c>
      <c r="R63" s="164">
        <f t="shared" ca="1" si="13"/>
        <v>-65</v>
      </c>
      <c r="S63" s="164">
        <f t="shared" ca="1" si="13"/>
        <v>-105</v>
      </c>
      <c r="T63" s="164">
        <f t="shared" ca="1" si="13"/>
        <v>-16</v>
      </c>
      <c r="U63" s="164">
        <f t="shared" ca="1" si="13"/>
        <v>35</v>
      </c>
      <c r="V63" s="164">
        <f t="shared" ca="1" si="13"/>
        <v>-15</v>
      </c>
      <c r="W63" s="164">
        <f t="shared" ca="1" si="13"/>
        <v>-24</v>
      </c>
      <c r="X63" s="164">
        <f t="shared" ca="1" si="13"/>
        <v>45</v>
      </c>
      <c r="Y63" s="165">
        <f t="shared" ca="1" si="13"/>
        <v>28</v>
      </c>
      <c r="Z63" s="188"/>
      <c r="AA63" s="158"/>
    </row>
    <row r="64" spans="1:27" s="157" customFormat="1" ht="12" x14ac:dyDescent="0.2">
      <c r="A64" s="190" t="s">
        <v>142</v>
      </c>
      <c r="B64" s="164">
        <f ca="1">IF(B62+B63&gt;645,"err",B62+B63)</f>
        <v>294</v>
      </c>
      <c r="C64" s="164">
        <f t="shared" ref="C64:Y64" ca="1" si="14">IF(C62+C63&gt;645,"err",C62+C63)</f>
        <v>338</v>
      </c>
      <c r="D64" s="164">
        <f t="shared" ca="1" si="14"/>
        <v>314</v>
      </c>
      <c r="E64" s="164">
        <f t="shared" ca="1" si="14"/>
        <v>294</v>
      </c>
      <c r="F64" s="164">
        <f t="shared" ca="1" si="14"/>
        <v>313</v>
      </c>
      <c r="G64" s="164">
        <f t="shared" ca="1" si="14"/>
        <v>314</v>
      </c>
      <c r="H64" s="164">
        <f t="shared" ca="1" si="14"/>
        <v>457</v>
      </c>
      <c r="I64" s="164">
        <f t="shared" ca="1" si="14"/>
        <v>425</v>
      </c>
      <c r="J64" s="164">
        <f t="shared" ca="1" si="14"/>
        <v>334</v>
      </c>
      <c r="K64" s="164">
        <f t="shared" ca="1" si="14"/>
        <v>339</v>
      </c>
      <c r="L64" s="164">
        <f t="shared" ca="1" si="14"/>
        <v>374</v>
      </c>
      <c r="M64" s="164">
        <f t="shared" ca="1" si="14"/>
        <v>258</v>
      </c>
      <c r="N64" s="164">
        <f t="shared" ca="1" si="14"/>
        <v>388</v>
      </c>
      <c r="O64" s="164">
        <f t="shared" ca="1" si="14"/>
        <v>359</v>
      </c>
      <c r="P64" s="164">
        <f t="shared" ca="1" si="14"/>
        <v>392</v>
      </c>
      <c r="Q64" s="164">
        <f t="shared" ca="1" si="14"/>
        <v>395</v>
      </c>
      <c r="R64" s="164">
        <f t="shared" ca="1" si="14"/>
        <v>385</v>
      </c>
      <c r="S64" s="164">
        <f t="shared" ca="1" si="14"/>
        <v>328</v>
      </c>
      <c r="T64" s="164">
        <f t="shared" ca="1" si="14"/>
        <v>425</v>
      </c>
      <c r="U64" s="164">
        <f t="shared" ca="1" si="14"/>
        <v>441</v>
      </c>
      <c r="V64" s="164">
        <f t="shared" ca="1" si="14"/>
        <v>414</v>
      </c>
      <c r="W64" s="164">
        <f t="shared" ca="1" si="14"/>
        <v>368</v>
      </c>
      <c r="X64" s="164">
        <f t="shared" ca="1" si="14"/>
        <v>275</v>
      </c>
      <c r="Y64" s="165">
        <f t="shared" ca="1" si="14"/>
        <v>227</v>
      </c>
      <c r="Z64" s="189"/>
      <c r="AA64" s="158"/>
    </row>
    <row r="65" spans="1:27" s="157" customFormat="1" ht="12" x14ac:dyDescent="0.2">
      <c r="A65" s="190" t="s">
        <v>18</v>
      </c>
      <c r="B65" s="164">
        <f ca="1">SUM(B61:B63)</f>
        <v>294</v>
      </c>
      <c r="C65" s="164">
        <f t="shared" ref="C65:Y65" ca="1" si="15">SUM(C61:C63)</f>
        <v>338</v>
      </c>
      <c r="D65" s="164">
        <f t="shared" ca="1" si="15"/>
        <v>314</v>
      </c>
      <c r="E65" s="164">
        <f t="shared" ca="1" si="15"/>
        <v>294</v>
      </c>
      <c r="F65" s="164">
        <f t="shared" ca="1" si="15"/>
        <v>313</v>
      </c>
      <c r="G65" s="164">
        <f t="shared" ca="1" si="15"/>
        <v>314</v>
      </c>
      <c r="H65" s="164">
        <f t="shared" ca="1" si="15"/>
        <v>457</v>
      </c>
      <c r="I65" s="164">
        <f t="shared" ca="1" si="15"/>
        <v>425</v>
      </c>
      <c r="J65" s="164">
        <f t="shared" ca="1" si="15"/>
        <v>334</v>
      </c>
      <c r="K65" s="164">
        <f t="shared" ca="1" si="15"/>
        <v>339</v>
      </c>
      <c r="L65" s="164">
        <f t="shared" ca="1" si="15"/>
        <v>374</v>
      </c>
      <c r="M65" s="164">
        <f t="shared" ca="1" si="15"/>
        <v>258</v>
      </c>
      <c r="N65" s="164">
        <f t="shared" ca="1" si="15"/>
        <v>388</v>
      </c>
      <c r="O65" s="164">
        <f t="shared" ca="1" si="15"/>
        <v>359</v>
      </c>
      <c r="P65" s="164">
        <f t="shared" ca="1" si="15"/>
        <v>392</v>
      </c>
      <c r="Q65" s="164">
        <f t="shared" ca="1" si="15"/>
        <v>395</v>
      </c>
      <c r="R65" s="164">
        <f t="shared" ca="1" si="15"/>
        <v>385</v>
      </c>
      <c r="S65" s="164">
        <f t="shared" ca="1" si="15"/>
        <v>328</v>
      </c>
      <c r="T65" s="164">
        <f t="shared" ca="1" si="15"/>
        <v>425</v>
      </c>
      <c r="U65" s="164">
        <f t="shared" ca="1" si="15"/>
        <v>441</v>
      </c>
      <c r="V65" s="164">
        <f t="shared" ca="1" si="15"/>
        <v>414</v>
      </c>
      <c r="W65" s="164">
        <f t="shared" ca="1" si="15"/>
        <v>368</v>
      </c>
      <c r="X65" s="164">
        <f t="shared" ca="1" si="15"/>
        <v>275</v>
      </c>
      <c r="Y65" s="165">
        <f t="shared" ca="1" si="15"/>
        <v>227</v>
      </c>
      <c r="Z65" s="188"/>
      <c r="AA65" s="158"/>
    </row>
    <row r="66" spans="1:27" s="157" customFormat="1" ht="12" x14ac:dyDescent="0.2">
      <c r="A66" s="190"/>
      <c r="B66" s="164"/>
      <c r="C66" s="164"/>
      <c r="D66" s="164"/>
      <c r="E66" s="164"/>
      <c r="F66" s="164"/>
      <c r="G66" s="164"/>
      <c r="H66" s="164"/>
      <c r="I66" s="164"/>
      <c r="J66" s="164"/>
      <c r="K66" s="164"/>
      <c r="L66" s="164"/>
      <c r="M66" s="164"/>
      <c r="N66" s="164"/>
      <c r="O66" s="164"/>
      <c r="P66" s="164"/>
      <c r="Q66" s="164"/>
      <c r="R66" s="164"/>
      <c r="S66" s="164"/>
      <c r="T66" s="164"/>
      <c r="U66" s="164"/>
      <c r="V66" s="164"/>
      <c r="W66" s="164"/>
      <c r="X66" s="164"/>
      <c r="Y66" s="165"/>
      <c r="Z66" s="188"/>
      <c r="AA66" s="158"/>
    </row>
    <row r="67" spans="1:27" s="157" customFormat="1" ht="12" x14ac:dyDescent="0.2">
      <c r="A67" s="190" t="s">
        <v>143</v>
      </c>
      <c r="B67" s="164">
        <v>444</v>
      </c>
      <c r="C67" s="164">
        <f t="array" ref="C67">SUM(IF(C$41:C$55 = 0,0,$Z$41:$Z$55-C$41:C$55))-INDEX(Balancing!$R$4:$R$27,C$3)</f>
        <v>490</v>
      </c>
      <c r="D67" s="164">
        <f t="array" ref="D67">SUM(IF(D$41:D$55 = 0,0,$Z$41:$Z$55-D$41:D$55))-INDEX(Balancing!$R$4:$R$27,D$3)</f>
        <v>486</v>
      </c>
      <c r="E67" s="164">
        <f t="array" ref="E67">SUM(IF(E$41:E$55 = 0,0,$Z$41:$Z$55-E$41:E$55))-INDEX(Balancing!$R$4:$R$27,E$3)</f>
        <v>444</v>
      </c>
      <c r="F67" s="164">
        <f t="array" ref="F67">SUM(IF(F$41:F$55 = 0,0,$Z$41:$Z$55-F$41:F$55))-INDEX(Balancing!$R$4:$R$27,F$3)</f>
        <v>441</v>
      </c>
      <c r="G67" s="164">
        <f t="array" ref="G67">SUM(IF(G$41:G$55 = 0,0,$Z$41:$Z$55-G$41:G$55))-INDEX(Balancing!$R$4:$R$27,G$3)</f>
        <v>368</v>
      </c>
      <c r="H67" s="164">
        <f t="array" ref="H67">SUM(IF(H$41:H$55 = 0,0,$Z$41:$Z$55-H$41:H$55))-INDEX(Balancing!$R$4:$R$27,H$3)</f>
        <v>460</v>
      </c>
      <c r="I67" s="164">
        <f t="array" ref="I67">SUM(IF(I$41:I$55 = 0,0,$Z$41:$Z$55-I$41:I$55))-INDEX(Balancing!$R$4:$R$27,I$3)</f>
        <v>354</v>
      </c>
      <c r="J67" s="164">
        <f t="array" ref="J67">SUM(IF(J$41:J$55 = 0,0,$Z$41:$Z$55-J$41:J$55))-INDEX(Balancing!$R$4:$R$27,J$3)</f>
        <v>345</v>
      </c>
      <c r="K67" s="164">
        <f t="array" ref="K67">SUM(IF(K$41:K$55 = 0,0,$Z$41:$Z$55-K$41:K$55))-INDEX(Balancing!$R$4:$R$27,K$3)</f>
        <v>300</v>
      </c>
      <c r="L67" s="164">
        <f t="array" ref="L67">SUM(IF(L$41:L$55 = 0,0,$Z$41:$Z$55-L$41:L$55))-INDEX(Balancing!$R$4:$R$27,L$3)</f>
        <v>304</v>
      </c>
      <c r="M67" s="164">
        <f t="array" ref="M67">SUM(IF(M$41:M$55 = 0,0,$Z$41:$Z$55-M$41:M$55))-INDEX(Balancing!$R$4:$R$27,M$3)</f>
        <v>284</v>
      </c>
      <c r="N67" s="164">
        <v>179</v>
      </c>
      <c r="O67" s="164">
        <f t="array" ref="O67">SUM(IF(O$41:O$55 = 0,0,$Z$41:$Z$55-O$41:O$55))-INDEX(Balancing!$R$4:$R$27,O$3)</f>
        <v>242</v>
      </c>
      <c r="P67" s="164">
        <f t="array" ref="P67">SUM(IF(P$41:P$55 = 0,0,$Z$41:$Z$55-P$41:P$55))-INDEX(Balancing!$R$4:$R$27,P$3)</f>
        <v>262</v>
      </c>
      <c r="Q67" s="164">
        <f t="array" ref="Q67">SUM(IF(Q$41:Q$55 = 0,0,$Z$41:$Z$55-Q$41:Q$55))-INDEX(Balancing!$R$4:$R$27,Q$3)</f>
        <v>287</v>
      </c>
      <c r="R67" s="164">
        <f t="array" ref="R67">SUM(IF(R$41:R$55 = 0,0,$Z$41:$Z$55-R$41:R$55))-INDEX(Balancing!$R$4:$R$27,R$3)</f>
        <v>290</v>
      </c>
      <c r="S67" s="164">
        <f t="array" ref="S67">SUM(IF(S$41:S$55 = 0,0,$Z$41:$Z$55-S$41:S$55))-INDEX(Balancing!$R$4:$R$27,S$3)</f>
        <v>272</v>
      </c>
      <c r="T67" s="164">
        <f t="array" ref="T67">SUM(IF(T$41:T$55 = 0,0,$Z$41:$Z$55-T$41:T$55))-INDEX(Balancing!$R$4:$R$27,T$3)</f>
        <v>386</v>
      </c>
      <c r="U67" s="164">
        <f t="array" ref="U67">SUM(IF(U$41:U$55 = 0,0,$Z$41:$Z$55-U$41:U$55))-INDEX(Balancing!$R$4:$R$27,U$3)</f>
        <v>341</v>
      </c>
      <c r="V67" s="164">
        <f t="array" ref="V67">SUM(IF(V$41:V$55 = 0,0,$Z$41:$Z$55-V$41:V$55))-INDEX(Balancing!$R$4:$R$27,V$3)</f>
        <v>330</v>
      </c>
      <c r="W67" s="164">
        <f t="array" ref="W67">SUM(IF(W$41:W$55 = 0,0,$Z$41:$Z$55-W$41:W$55))-INDEX(Balancing!$R$4:$R$27,W$3)</f>
        <v>379</v>
      </c>
      <c r="X67" s="164">
        <f t="array" ref="X67">SUM(IF(X$41:X$55 = 0,0,$Z$41:$Z$55-X$41:X$55))-INDEX(Balancing!$R$4:$R$27,X$3)</f>
        <v>400</v>
      </c>
      <c r="Y67" s="165">
        <f t="array" ref="Y67">SUM(IF(Y$41:Y$55 = 0,0,$Z$41:$Z$55-Y$41:Y$55))-INDEX(Balancing!$R$4:$R$27,Y$3)</f>
        <v>419</v>
      </c>
      <c r="Z67" s="188"/>
      <c r="AA67" s="158"/>
    </row>
    <row r="68" spans="1:27" s="157" customFormat="1" ht="12" x14ac:dyDescent="0.2">
      <c r="A68" s="190"/>
      <c r="B68" s="164"/>
      <c r="C68" s="164"/>
      <c r="D68" s="164"/>
      <c r="E68" s="164"/>
      <c r="F68" s="164"/>
      <c r="G68" s="164"/>
      <c r="H68" s="164"/>
      <c r="I68" s="164"/>
      <c r="J68" s="164"/>
      <c r="K68" s="164"/>
      <c r="L68" s="164"/>
      <c r="M68" s="164"/>
      <c r="N68" s="164"/>
      <c r="O68" s="164"/>
      <c r="P68" s="164"/>
      <c r="Q68" s="164"/>
      <c r="R68" s="164"/>
      <c r="S68" s="164"/>
      <c r="T68" s="164"/>
      <c r="U68" s="164"/>
      <c r="V68" s="164"/>
      <c r="W68" s="164"/>
      <c r="X68" s="164"/>
      <c r="Y68" s="165"/>
      <c r="Z68" s="188"/>
      <c r="AA68" s="158"/>
    </row>
    <row r="69" spans="1:27" s="157" customFormat="1" thickBot="1" x14ac:dyDescent="0.25">
      <c r="A69" s="192" t="s">
        <v>144</v>
      </c>
      <c r="B69" s="166">
        <f t="shared" ref="B69:G69" si="16">IF(B67&lt;0.07*B4,"err",ROUND(B4*0.07,0))</f>
        <v>43</v>
      </c>
      <c r="C69" s="166">
        <f t="shared" si="16"/>
        <v>42</v>
      </c>
      <c r="D69" s="166">
        <f t="shared" si="16"/>
        <v>41</v>
      </c>
      <c r="E69" s="166">
        <f t="shared" si="16"/>
        <v>43</v>
      </c>
      <c r="F69" s="166">
        <f t="shared" si="16"/>
        <v>44</v>
      </c>
      <c r="G69" s="166">
        <f t="shared" si="16"/>
        <v>49</v>
      </c>
      <c r="H69" s="166">
        <f t="shared" ref="H69:X69" si="17">IF(H67&lt;0.07*I4,"err",ROUND(I4*0.07,0))</f>
        <v>59</v>
      </c>
      <c r="I69" s="166">
        <f t="shared" si="17"/>
        <v>62</v>
      </c>
      <c r="J69" s="166">
        <f t="shared" si="17"/>
        <v>65</v>
      </c>
      <c r="K69" s="166">
        <f t="shared" si="17"/>
        <v>66</v>
      </c>
      <c r="L69" s="166">
        <f t="shared" si="17"/>
        <v>67</v>
      </c>
      <c r="M69" s="166">
        <f t="shared" si="17"/>
        <v>68</v>
      </c>
      <c r="N69" s="166">
        <f t="shared" si="17"/>
        <v>69</v>
      </c>
      <c r="O69" s="166">
        <f t="shared" si="17"/>
        <v>70</v>
      </c>
      <c r="P69" s="166">
        <f t="shared" si="17"/>
        <v>69</v>
      </c>
      <c r="Q69" s="166">
        <f t="shared" si="17"/>
        <v>68</v>
      </c>
      <c r="R69" s="166">
        <f t="shared" si="17"/>
        <v>64</v>
      </c>
      <c r="S69" s="166">
        <f t="shared" si="17"/>
        <v>62</v>
      </c>
      <c r="T69" s="166">
        <f t="shared" si="17"/>
        <v>66</v>
      </c>
      <c r="U69" s="166">
        <f t="shared" si="17"/>
        <v>65</v>
      </c>
      <c r="V69" s="166">
        <f t="shared" si="17"/>
        <v>58</v>
      </c>
      <c r="W69" s="166">
        <f t="shared" si="17"/>
        <v>50</v>
      </c>
      <c r="X69" s="166">
        <f t="shared" si="17"/>
        <v>45</v>
      </c>
      <c r="Y69" s="167" t="e">
        <f>IF(Y67&lt;0.07*#REF!,"err",ROUND(#REF!*0.07,0))</f>
        <v>#REF!</v>
      </c>
      <c r="Z69" s="188"/>
      <c r="AA69" s="158"/>
    </row>
    <row r="70" spans="1:27" s="276" customFormat="1" thickTop="1" x14ac:dyDescent="0.2">
      <c r="A70" s="268"/>
      <c r="B70" s="269"/>
      <c r="C70" s="269"/>
      <c r="D70" s="269"/>
      <c r="E70" s="269"/>
      <c r="F70" s="269"/>
      <c r="G70" s="269"/>
      <c r="H70" s="269"/>
      <c r="I70" s="269"/>
      <c r="J70" s="269"/>
      <c r="K70" s="269"/>
      <c r="L70" s="269"/>
      <c r="M70" s="269"/>
      <c r="N70" s="269"/>
      <c r="O70" s="269"/>
      <c r="P70" s="269"/>
      <c r="Q70" s="269"/>
      <c r="R70" s="269"/>
      <c r="S70" s="269"/>
      <c r="T70" s="269"/>
      <c r="U70" s="269"/>
      <c r="V70" s="269"/>
      <c r="W70" s="269"/>
      <c r="X70" s="269"/>
      <c r="Y70" s="269"/>
      <c r="AA70" s="277"/>
    </row>
    <row r="71" spans="1:27" s="157" customFormat="1" ht="24" x14ac:dyDescent="0.2">
      <c r="A71" s="268"/>
      <c r="B71" s="280" t="s">
        <v>145</v>
      </c>
      <c r="C71" s="280" t="s">
        <v>146</v>
      </c>
      <c r="D71" s="283" t="s">
        <v>147</v>
      </c>
      <c r="E71" s="280" t="s">
        <v>148</v>
      </c>
      <c r="F71" s="283" t="s">
        <v>149</v>
      </c>
      <c r="G71" s="280" t="s">
        <v>150</v>
      </c>
      <c r="H71" s="269"/>
      <c r="I71" s="269"/>
      <c r="J71" s="269"/>
      <c r="K71" s="269"/>
      <c r="L71" s="269"/>
      <c r="M71" s="269"/>
      <c r="N71" s="269"/>
      <c r="O71" s="269"/>
      <c r="P71" s="269"/>
      <c r="Q71" s="269"/>
      <c r="R71" s="269"/>
      <c r="S71" s="269"/>
      <c r="T71" s="269"/>
      <c r="U71" s="269"/>
      <c r="V71" s="269"/>
      <c r="W71" s="269"/>
      <c r="X71" s="269"/>
      <c r="Y71" s="269"/>
      <c r="AA71" s="158"/>
    </row>
    <row r="72" spans="1:27" s="157" customFormat="1" ht="12" x14ac:dyDescent="0.2">
      <c r="A72" s="270" t="s">
        <v>151</v>
      </c>
      <c r="B72" s="271"/>
      <c r="C72" s="271"/>
      <c r="D72" s="281"/>
      <c r="E72" s="281"/>
      <c r="F72" s="282"/>
      <c r="G72" s="282"/>
      <c r="H72" s="269"/>
      <c r="I72" s="269"/>
      <c r="J72" s="269"/>
      <c r="K72" s="269"/>
      <c r="L72" s="269"/>
      <c r="M72" s="269"/>
      <c r="N72" s="269"/>
      <c r="O72" s="269"/>
      <c r="P72" s="269"/>
      <c r="Q72" s="269"/>
      <c r="R72" s="269"/>
      <c r="S72" s="269"/>
      <c r="T72" s="269"/>
      <c r="U72" s="269"/>
      <c r="V72" s="269"/>
      <c r="W72" s="269"/>
      <c r="X72" s="269"/>
      <c r="Y72" s="269"/>
      <c r="AA72" s="158"/>
    </row>
    <row r="73" spans="1:27" s="157" customFormat="1" ht="12" x14ac:dyDescent="0.2">
      <c r="A73" s="270" t="s">
        <v>152</v>
      </c>
      <c r="B73" s="271"/>
      <c r="C73" s="271"/>
      <c r="D73" s="281"/>
      <c r="E73" s="281"/>
      <c r="F73" s="282"/>
      <c r="G73" s="282"/>
      <c r="H73" s="269"/>
      <c r="I73" s="269"/>
      <c r="J73" s="269"/>
      <c r="K73" s="269"/>
      <c r="L73" s="269"/>
      <c r="M73" s="269"/>
      <c r="N73" s="269"/>
      <c r="O73" s="269"/>
      <c r="P73" s="269"/>
      <c r="Q73" s="269"/>
      <c r="R73" s="269"/>
      <c r="S73" s="269"/>
      <c r="T73" s="269"/>
      <c r="U73" s="269"/>
      <c r="V73" s="269"/>
      <c r="W73" s="269"/>
      <c r="X73" s="269"/>
      <c r="Y73" s="269"/>
      <c r="AA73" s="158"/>
    </row>
    <row r="74" spans="1:27" s="157" customFormat="1" ht="12" x14ac:dyDescent="0.2">
      <c r="A74" s="270" t="s">
        <v>153</v>
      </c>
      <c r="B74" s="271"/>
      <c r="C74" s="271"/>
      <c r="D74" s="281"/>
      <c r="E74" s="281"/>
      <c r="F74" s="282"/>
      <c r="G74" s="282"/>
      <c r="H74" s="269"/>
      <c r="I74" s="269"/>
      <c r="J74" s="269"/>
      <c r="K74" s="269"/>
      <c r="L74" s="269"/>
      <c r="M74" s="269"/>
      <c r="N74" s="269"/>
      <c r="O74" s="269"/>
      <c r="P74" s="269"/>
      <c r="Q74" s="269"/>
      <c r="R74" s="269"/>
      <c r="S74" s="269"/>
      <c r="T74" s="269"/>
      <c r="U74" s="269"/>
      <c r="V74" s="269"/>
      <c r="W74" s="269"/>
      <c r="X74" s="269"/>
      <c r="Y74" s="269"/>
      <c r="AA74" s="158"/>
    </row>
    <row r="75" spans="1:27" s="157" customFormat="1" ht="12" x14ac:dyDescent="0.2">
      <c r="A75" s="270" t="s">
        <v>154</v>
      </c>
      <c r="B75" s="271"/>
      <c r="C75" s="271"/>
      <c r="D75" s="281"/>
      <c r="E75" s="281"/>
      <c r="F75" s="282"/>
      <c r="G75" s="282"/>
      <c r="H75" s="269"/>
      <c r="I75" s="269"/>
      <c r="J75" s="269"/>
      <c r="K75" s="269"/>
      <c r="L75" s="269"/>
      <c r="M75" s="269"/>
      <c r="N75" s="269"/>
      <c r="O75" s="269"/>
      <c r="P75" s="269"/>
      <c r="Q75" s="269"/>
      <c r="R75" s="269"/>
      <c r="S75" s="269"/>
      <c r="T75" s="269"/>
      <c r="U75" s="269"/>
      <c r="V75" s="269"/>
      <c r="W75" s="269"/>
      <c r="X75" s="269"/>
      <c r="Y75" s="269"/>
      <c r="AA75" s="158"/>
    </row>
    <row r="76" spans="1:27" s="157" customFormat="1" ht="12" x14ac:dyDescent="0.2">
      <c r="A76" s="270"/>
      <c r="B76" s="269"/>
      <c r="C76" s="269"/>
      <c r="D76" s="269"/>
      <c r="E76" s="269"/>
      <c r="F76" s="269"/>
      <c r="G76" s="269"/>
      <c r="H76" s="269"/>
      <c r="I76" s="269"/>
      <c r="J76" s="269"/>
      <c r="K76" s="269"/>
      <c r="L76" s="269"/>
      <c r="M76" s="269"/>
      <c r="N76" s="269"/>
      <c r="O76" s="269"/>
      <c r="P76" s="269"/>
      <c r="Q76" s="269"/>
      <c r="R76" s="269"/>
      <c r="S76" s="269"/>
      <c r="T76" s="269"/>
      <c r="U76" s="269"/>
      <c r="V76" s="269"/>
      <c r="W76" s="269"/>
      <c r="X76" s="269"/>
      <c r="Y76" s="269"/>
      <c r="AA76" s="158"/>
    </row>
    <row r="77" spans="1:27" s="157" customFormat="1" ht="12" x14ac:dyDescent="0.2">
      <c r="A77" s="268"/>
      <c r="B77" s="269"/>
      <c r="C77" s="269"/>
      <c r="D77" s="269"/>
      <c r="E77" s="269"/>
      <c r="F77" s="269"/>
      <c r="G77" s="269"/>
      <c r="H77" s="269"/>
      <c r="I77" s="269"/>
      <c r="J77" s="269"/>
      <c r="K77" s="269"/>
      <c r="L77" s="269"/>
      <c r="M77" s="269"/>
      <c r="N77" s="269"/>
      <c r="O77" s="269"/>
      <c r="P77" s="269"/>
      <c r="Q77" s="269"/>
      <c r="R77" s="269"/>
      <c r="S77" s="269"/>
      <c r="T77" s="269"/>
      <c r="U77" s="269"/>
      <c r="V77" s="269"/>
      <c r="W77" s="269"/>
      <c r="X77" s="269"/>
      <c r="Y77" s="269"/>
      <c r="AA77" s="158"/>
    </row>
    <row r="78" spans="1:27" x14ac:dyDescent="0.2">
      <c r="A78" s="272" t="s">
        <v>155</v>
      </c>
      <c r="B78" s="435">
        <f t="shared" ref="B78:Y78" ca="1" si="18">(B22+B25+B29)</f>
        <v>90</v>
      </c>
      <c r="C78" s="435">
        <f t="shared" ca="1" si="18"/>
        <v>80</v>
      </c>
      <c r="D78" s="435">
        <f t="shared" ca="1" si="18"/>
        <v>80</v>
      </c>
      <c r="E78" s="435">
        <f t="shared" ca="1" si="18"/>
        <v>80</v>
      </c>
      <c r="F78" s="435">
        <f t="shared" ca="1" si="18"/>
        <v>80</v>
      </c>
      <c r="G78" s="435">
        <f t="shared" ca="1" si="18"/>
        <v>80</v>
      </c>
      <c r="H78" s="435">
        <f t="shared" ca="1" si="18"/>
        <v>40</v>
      </c>
      <c r="I78" s="435">
        <f t="shared" ca="1" si="18"/>
        <v>40</v>
      </c>
      <c r="J78" s="435">
        <f t="shared" ca="1" si="18"/>
        <v>50</v>
      </c>
      <c r="K78" s="435">
        <f t="shared" ca="1" si="18"/>
        <v>80</v>
      </c>
      <c r="L78" s="435">
        <f t="shared" ca="1" si="18"/>
        <v>120</v>
      </c>
      <c r="M78" s="435">
        <f t="shared" ca="1" si="18"/>
        <v>150</v>
      </c>
      <c r="N78" s="435">
        <f t="shared" ca="1" si="18"/>
        <v>170</v>
      </c>
      <c r="O78" s="435">
        <f t="shared" ca="1" si="18"/>
        <v>190</v>
      </c>
      <c r="P78" s="435">
        <f t="shared" ca="1" si="18"/>
        <v>190</v>
      </c>
      <c r="Q78" s="435">
        <f t="shared" ca="1" si="18"/>
        <v>190</v>
      </c>
      <c r="R78" s="435">
        <f t="shared" ca="1" si="18"/>
        <v>190</v>
      </c>
      <c r="S78" s="435">
        <f t="shared" ca="1" si="18"/>
        <v>190</v>
      </c>
      <c r="T78" s="435">
        <f t="shared" ca="1" si="18"/>
        <v>190</v>
      </c>
      <c r="U78" s="435">
        <f t="shared" ca="1" si="18"/>
        <v>170</v>
      </c>
      <c r="V78" s="435">
        <f t="shared" ca="1" si="18"/>
        <v>150</v>
      </c>
      <c r="W78" s="435">
        <f t="shared" ca="1" si="18"/>
        <v>140</v>
      </c>
      <c r="X78" s="435">
        <f t="shared" ca="1" si="18"/>
        <v>180</v>
      </c>
      <c r="Y78" s="435">
        <f t="shared" ca="1" si="18"/>
        <v>145</v>
      </c>
      <c r="Z78" s="157"/>
      <c r="AA78" s="158"/>
    </row>
    <row r="79" spans="1:27" x14ac:dyDescent="0.2">
      <c r="A79" s="272" t="s">
        <v>156</v>
      </c>
      <c r="B79" s="284" t="e">
        <f t="array" ref="B79">IF(SUM(Deals!#REF!)=0,0,SUM(Deals!#REF!*Deals!#REF!)/SUM(Deals!#REF!))</f>
        <v>#REF!</v>
      </c>
      <c r="C79" s="284" t="e">
        <f t="array" ref="C79">IF(SUM(Deals!#REF!)=0,0,SUM(Deals!#REF!*Deals!#REF!)/SUM(Deals!#REF!))</f>
        <v>#REF!</v>
      </c>
      <c r="D79" s="284" t="e">
        <f t="array" ref="D79">IF(SUM(Deals!#REF!)=0,0,SUM(Deals!#REF!*Deals!#REF!)/SUM(Deals!#REF!))</f>
        <v>#REF!</v>
      </c>
      <c r="E79" s="284" t="e">
        <f t="array" ref="E79">IF(SUM(Deals!#REF!)=0,0,SUM(Deals!#REF!*Deals!#REF!)/SUM(Deals!#REF!))</f>
        <v>#REF!</v>
      </c>
      <c r="F79" s="284" t="e">
        <f>IF(SUM(Deals!#REF!)=0,0,SUM(Deals!#REF!*Deals!#REF!)/SUM(Deals!#REF!))</f>
        <v>#REF!</v>
      </c>
      <c r="G79" s="284" t="e">
        <f t="array" ref="G79">IF(SUM(Deals!#REF!)=0,0,SUM(Deals!#REF!*Deals!#REF!)/SUM(Deals!#REF!))</f>
        <v>#REF!</v>
      </c>
      <c r="H79" s="284" t="e">
        <f t="array" ref="H79">IF(SUM(Deals!#REF!)=0,0,SUM(Deals!#REF!*Deals!#REF!)/SUM(Deals!#REF!))</f>
        <v>#REF!</v>
      </c>
      <c r="I79" s="284" t="e">
        <f t="array" ref="I79">IF(SUM(Deals!#REF!)=0,0,SUM(Deals!#REF!*Deals!#REF!)/SUM(Deals!#REF!))</f>
        <v>#REF!</v>
      </c>
      <c r="J79" s="284" t="e">
        <f t="array" ref="J79">IF(SUM(Deals!#REF!)=0,0,SUM(Deals!#REF!*Deals!#REF!)/SUM(Deals!#REF!))</f>
        <v>#REF!</v>
      </c>
      <c r="K79" s="284" t="e">
        <f t="array" ref="K79">IF(SUM(Deals!#REF!)=0,0,SUM(Deals!#REF!*Deals!#REF!)/SUM(Deals!#REF!))</f>
        <v>#REF!</v>
      </c>
      <c r="L79" s="284" t="e">
        <f t="array" ref="L79">IF(SUM(Deals!#REF!)=0,0,SUM(Deals!#REF!*Deals!#REF!)/SUM(Deals!#REF!))</f>
        <v>#REF!</v>
      </c>
      <c r="M79" s="284" t="e">
        <f t="array" ref="M79">IF(SUM(Deals!#REF!)=0,0,SUM(Deals!#REF!*Deals!#REF!)/SUM(Deals!#REF!))</f>
        <v>#REF!</v>
      </c>
      <c r="N79" s="284" t="e">
        <f t="array" ref="N79">IF(SUM(Deals!#REF!)=0,0,SUM(Deals!#REF!*Deals!#REF!)/SUM(Deals!#REF!))</f>
        <v>#REF!</v>
      </c>
      <c r="O79" s="284" t="e">
        <f t="array" ref="O79">IF(SUM(Deals!#REF!)=0,0,SUM(Deals!#REF!*Deals!#REF!)/SUM(Deals!#REF!))</f>
        <v>#REF!</v>
      </c>
      <c r="P79" s="284" t="e">
        <f t="array" ref="P79">IF(SUM(Deals!#REF!)=0,0,SUM(Deals!#REF!*Deals!#REF!)/SUM(Deals!#REF!))</f>
        <v>#REF!</v>
      </c>
      <c r="Q79" s="284" t="e">
        <f t="array" ref="Q79">IF(SUM(Deals!#REF!)=0,0,SUM(Deals!#REF!*Deals!#REF!)/SUM(Deals!#REF!))</f>
        <v>#REF!</v>
      </c>
      <c r="R79" s="284" t="e">
        <f t="array" ref="R79">IF(SUM(Deals!#REF!)=0,0,SUM(Deals!#REF!*Deals!#REF!)/SUM(Deals!#REF!))</f>
        <v>#REF!</v>
      </c>
      <c r="S79" s="284" t="e">
        <f t="array" ref="S79">IF(SUM(Deals!#REF!)=0,0,SUM(Deals!#REF!*Deals!#REF!)/SUM(Deals!#REF!))</f>
        <v>#REF!</v>
      </c>
      <c r="T79" s="284" t="e">
        <f t="array" ref="T79">IF(SUM(Deals!#REF!)=0,0,SUM(Deals!#REF!*Deals!#REF!)/SUM(Deals!#REF!))</f>
        <v>#REF!</v>
      </c>
      <c r="U79" s="284" t="e">
        <f t="array" ref="U79">IF(SUM(Deals!#REF!)=0,0,SUM(Deals!#REF!*Deals!#REF!)/SUM(Deals!#REF!))</f>
        <v>#REF!</v>
      </c>
      <c r="V79" s="284" t="e">
        <f t="array" ref="V79">IF(SUM(Deals!#REF!)=0,0,SUM(Deals!#REF!*Deals!#REF!)/SUM(Deals!#REF!))</f>
        <v>#REF!</v>
      </c>
      <c r="W79" s="284" t="e">
        <f t="array" ref="W79">IF(SUM(Deals!#REF!)=0,0,SUM(Deals!#REF!*Deals!#REF!)/SUM(Deals!#REF!))</f>
        <v>#REF!</v>
      </c>
      <c r="X79" s="284" t="e">
        <f t="array" ref="X79">IF(SUM(Deals!#REF!)=0,0,SUM(Deals!#REF!*Deals!#REF!)/SUM(Deals!#REF!))</f>
        <v>#REF!</v>
      </c>
      <c r="Y79" s="284" t="e">
        <f t="array" ref="Y79">IF(SUM(Deals!#REF!)=0,0,SUM(Deals!#REF!*Deals!#REF!)/SUM(Deals!#REF!))</f>
        <v>#REF!</v>
      </c>
      <c r="Z79" s="157"/>
      <c r="AA79" s="158"/>
    </row>
    <row r="80" spans="1:27" x14ac:dyDescent="0.2">
      <c r="A80" s="272" t="s">
        <v>157</v>
      </c>
      <c r="B80" s="436">
        <f>Deals!AD160</f>
        <v>0</v>
      </c>
      <c r="C80" s="273" t="e">
        <f>SUM(Deals!#REF!)</f>
        <v>#REF!</v>
      </c>
      <c r="D80" s="273" t="e">
        <f>SUM(Deals!#REF!)</f>
        <v>#REF!</v>
      </c>
      <c r="E80" s="273" t="e">
        <f>SUM(Deals!#REF!)</f>
        <v>#REF!</v>
      </c>
      <c r="F80" s="273" t="e">
        <f>SUM(Deals!#REF!)</f>
        <v>#REF!</v>
      </c>
      <c r="G80" s="273" t="e">
        <f>SUM(Deals!#REF!)</f>
        <v>#REF!</v>
      </c>
      <c r="H80" s="273" t="e">
        <f>SUM(Deals!#REF!)</f>
        <v>#REF!</v>
      </c>
      <c r="I80" s="273" t="e">
        <f>SUM(Deals!#REF!)</f>
        <v>#REF!</v>
      </c>
      <c r="J80" s="273" t="e">
        <f>SUM(Deals!#REF!)</f>
        <v>#REF!</v>
      </c>
      <c r="K80" s="273" t="e">
        <f>SUM(Deals!#REF!)</f>
        <v>#REF!</v>
      </c>
      <c r="L80" s="273" t="e">
        <f>SUM(Deals!#REF!)</f>
        <v>#REF!</v>
      </c>
      <c r="M80" s="273" t="e">
        <f>SUM(Deals!#REF!)</f>
        <v>#REF!</v>
      </c>
      <c r="N80" s="273" t="e">
        <f>SUM(Deals!#REF!)</f>
        <v>#REF!</v>
      </c>
      <c r="O80" s="273" t="e">
        <f>SUM(Deals!#REF!)</f>
        <v>#REF!</v>
      </c>
      <c r="P80" s="273" t="e">
        <f>SUM(Deals!#REF!)</f>
        <v>#REF!</v>
      </c>
      <c r="Q80" s="273" t="e">
        <f>SUM(Deals!#REF!)</f>
        <v>#REF!</v>
      </c>
      <c r="R80" s="273" t="e">
        <f>SUM(Deals!#REF!)</f>
        <v>#REF!</v>
      </c>
      <c r="S80" s="273" t="e">
        <f>SUM(Deals!#REF!)</f>
        <v>#REF!</v>
      </c>
      <c r="T80" s="273" t="e">
        <f>SUM(Deals!#REF!)</f>
        <v>#REF!</v>
      </c>
      <c r="U80" s="273" t="e">
        <f>SUM(Deals!#REF!)</f>
        <v>#REF!</v>
      </c>
      <c r="V80" s="273" t="e">
        <f>SUM(Deals!#REF!)</f>
        <v>#REF!</v>
      </c>
      <c r="W80" s="273" t="e">
        <f>SUM(Deals!#REF!)</f>
        <v>#REF!</v>
      </c>
      <c r="X80" s="273" t="e">
        <f>SUM(Deals!#REF!)</f>
        <v>#REF!</v>
      </c>
      <c r="Y80" s="273" t="e">
        <f>SUM(Deals!#REF!)</f>
        <v>#REF!</v>
      </c>
      <c r="Z80" s="157"/>
      <c r="AA80" s="158"/>
    </row>
    <row r="81" spans="1:27" x14ac:dyDescent="0.2">
      <c r="A81" s="272" t="s">
        <v>158</v>
      </c>
      <c r="B81" s="279" t="e">
        <f t="array" ref="B81">IF(SUM(Deals!#REF!)=0,0,SUM(Deals!#REF!*Deals!#REF!)/SUM(Deals!#REF!))</f>
        <v>#REF!</v>
      </c>
      <c r="C81" s="279" t="e">
        <f t="array" ref="C81">IF(SUM(Deals!#REF!)=0,0,SUM(Deals!#REF!*Deals!#REF!)/SUM(Deals!#REF!))</f>
        <v>#REF!</v>
      </c>
      <c r="D81" s="279" t="e">
        <f t="array" ref="D81">IF(SUM(Deals!#REF!)=0,0,SUM(Deals!#REF!*Deals!#REF!)/SUM(Deals!#REF!))</f>
        <v>#REF!</v>
      </c>
      <c r="E81" s="279" t="e">
        <f t="array" ref="E81">IF(SUM(Deals!#REF!)=0,0,SUM(Deals!#REF!*Deals!#REF!)/SUM(Deals!#REF!))</f>
        <v>#REF!</v>
      </c>
      <c r="F81" s="279" t="e">
        <f t="array" ref="F81">IF(SUM(Deals!#REF!)=0,0,SUM(Deals!#REF!*Deals!#REF!)/SUM(Deals!#REF!))</f>
        <v>#REF!</v>
      </c>
      <c r="G81" s="279" t="e">
        <f t="array" ref="G81">IF(SUM(Deals!#REF!)=0,0,SUM(Deals!#REF!*Deals!#REF!)/SUM(Deals!#REF!))</f>
        <v>#REF!</v>
      </c>
      <c r="H81" s="279" t="e">
        <f t="array" ref="H81">IF(SUM(Deals!#REF!)=0,0,SUM(Deals!#REF!*Deals!#REF!)/SUM(Deals!#REF!))</f>
        <v>#REF!</v>
      </c>
      <c r="I81" s="279" t="e">
        <f t="array" ref="I81">IF(SUM(Deals!#REF!)=0,0,SUM(Deals!#REF!*Deals!#REF!)/SUM(Deals!#REF!))</f>
        <v>#REF!</v>
      </c>
      <c r="J81" s="279" t="e">
        <f t="array" ref="J81">IF(SUM(Deals!#REF!)=0,0,SUM(Deals!#REF!*Deals!#REF!)/SUM(Deals!#REF!))</f>
        <v>#REF!</v>
      </c>
      <c r="K81" s="279" t="e">
        <f t="array" ref="K81">IF(SUM(Deals!#REF!)=0,0,SUM(Deals!#REF!*Deals!#REF!)/SUM(Deals!#REF!))</f>
        <v>#REF!</v>
      </c>
      <c r="L81" s="279" t="e">
        <f t="array" ref="L81">IF(SUM(Deals!#REF!)=0,0,SUM(Deals!#REF!*Deals!#REF!)/SUM(Deals!#REF!))</f>
        <v>#REF!</v>
      </c>
      <c r="M81" s="279" t="e">
        <f t="array" ref="M81">IF(SUM(Deals!#REF!)=0,0,SUM(Deals!#REF!*Deals!#REF!)/SUM(Deals!#REF!))</f>
        <v>#REF!</v>
      </c>
      <c r="N81" s="279" t="e">
        <f t="array" ref="N81">IF(SUM(Deals!#REF!)=0,0,SUM(Deals!#REF!*Deals!#REF!)/SUM(Deals!#REF!))</f>
        <v>#REF!</v>
      </c>
      <c r="O81" s="279" t="e">
        <f t="array" ref="O81">IF(SUM(Deals!#REF!)=0,0,SUM(Deals!#REF!*Deals!#REF!)/SUM(Deals!#REF!))</f>
        <v>#REF!</v>
      </c>
      <c r="P81" s="284" t="e">
        <f t="array" ref="P81">IF(SUM(Deals!#REF!)=0,0,SUM(Deals!#REF!*Deals!#REF!)/SUM(Deals!#REF!))</f>
        <v>#REF!</v>
      </c>
      <c r="Q81" s="279" t="e">
        <f t="array" ref="Q81">IF(SUM(Deals!#REF!)=0,0,SUM(Deals!#REF!*Deals!#REF!)/SUM(Deals!#REF!))</f>
        <v>#REF!</v>
      </c>
      <c r="R81" s="279" t="e">
        <f t="array" ref="R81">IF(SUM(Deals!#REF!)=0,0,SUM(Deals!#REF!*Deals!#REF!)/SUM(Deals!#REF!))</f>
        <v>#REF!</v>
      </c>
      <c r="S81" s="279" t="e">
        <f t="array" ref="S81">IF(SUM(Deals!#REF!)=0,0,SUM(Deals!#REF!*Deals!#REF!)/SUM(Deals!#REF!))</f>
        <v>#REF!</v>
      </c>
      <c r="T81" s="279" t="e">
        <f t="array" ref="T81">IF(SUM(Deals!#REF!)=0,0,SUM(Deals!#REF!*Deals!#REF!)/SUM(Deals!#REF!))</f>
        <v>#REF!</v>
      </c>
      <c r="U81" s="279" t="e">
        <f t="array" ref="U81">IF(SUM(Deals!#REF!)=0,0,SUM(Deals!#REF!*Deals!#REF!)/SUM(Deals!#REF!))</f>
        <v>#REF!</v>
      </c>
      <c r="V81" s="279" t="e">
        <f t="array" ref="V81">IF(SUM(Deals!#REF!)=0,0,SUM(Deals!#REF!*Deals!#REF!)/SUM(Deals!#REF!))</f>
        <v>#REF!</v>
      </c>
      <c r="W81" s="279" t="e">
        <f t="array" ref="W81">IF(SUM(Deals!#REF!)=0,0,SUM(Deals!#REF!*Deals!#REF!)/SUM(Deals!#REF!))</f>
        <v>#REF!</v>
      </c>
      <c r="X81" s="279" t="e">
        <f t="array" ref="X81">IF(SUM(Deals!#REF!)=0,0,SUM(Deals!#REF!*Deals!#REF!)/SUM(Deals!#REF!))</f>
        <v>#REF!</v>
      </c>
      <c r="Y81" s="279" t="e">
        <f t="array" ref="Y81">IF(SUM(Deals!#REF!)=0,0,SUM(Deals!#REF!*Deals!#REF!)/SUM(Deals!#REF!))</f>
        <v>#REF!</v>
      </c>
      <c r="Z81" s="157"/>
      <c r="AA81" s="158"/>
    </row>
    <row r="82" spans="1:27" s="274" customFormat="1" x14ac:dyDescent="0.2">
      <c r="A82" s="275"/>
      <c r="B82" s="278" t="s">
        <v>159</v>
      </c>
      <c r="C82" s="278" t="s">
        <v>160</v>
      </c>
      <c r="Z82" s="276"/>
      <c r="AA82" s="277"/>
    </row>
    <row r="83" spans="1:27" x14ac:dyDescent="0.2">
      <c r="A83" s="272" t="s">
        <v>161</v>
      </c>
      <c r="B83" s="273">
        <f ca="1">SUM(B78:Y78)</f>
        <v>3065</v>
      </c>
      <c r="C83" s="284" t="e">
        <f t="array" ref="C83">IF(SUM(Deals!#REF!)=0,0,SUM(Deals!#REF!*Deals!#REF!)/SUM(Deals!#REF!))</f>
        <v>#REF!</v>
      </c>
      <c r="Z83" s="157"/>
      <c r="AA83" s="158"/>
    </row>
    <row r="84" spans="1:27" x14ac:dyDescent="0.2">
      <c r="A84" s="272" t="s">
        <v>162</v>
      </c>
      <c r="B84" s="273" t="e">
        <f>SUM(B80:Y80)</f>
        <v>#REF!</v>
      </c>
      <c r="C84" s="284" t="e">
        <f t="array" ref="C84">IF(SUM(Deals!#REF!)=0,0,SUM(Deals!#REF!*Deals!#REF!)/SUM(Deals!#REF!))</f>
        <v>#REF!</v>
      </c>
      <c r="Z84" s="157"/>
      <c r="AA84" s="158"/>
    </row>
    <row r="85" spans="1:27" ht="13.5" thickBot="1" x14ac:dyDescent="0.25">
      <c r="A85" s="272"/>
      <c r="Z85" s="157"/>
      <c r="AA85" s="158"/>
    </row>
    <row r="86" spans="1:27" x14ac:dyDescent="0.2">
      <c r="A86" s="272"/>
      <c r="X86" s="209"/>
      <c r="Y86" s="210" t="s">
        <v>163</v>
      </c>
      <c r="Z86" s="241" t="e">
        <f>SUM(Z89,Z92,Z95,Z98,Z101,Z105,Z110,Z115,Z120,Z125,Z130,Z135,Z140,Z145,Z150,Z155,Z160)</f>
        <v>#REF!</v>
      </c>
    </row>
    <row r="87" spans="1:27" x14ac:dyDescent="0.2">
      <c r="X87" s="211"/>
      <c r="Y87" s="212" t="s">
        <v>164</v>
      </c>
      <c r="Z87" s="242" t="e">
        <f ca="1">SUM(Z90,Z93,Z96,Z99,Z102,Z107,Z112,Z117,Z122,Z127,Z132,Z137,Z142,Z147,Z152,Z157,Z162)</f>
        <v>#NAME?</v>
      </c>
    </row>
    <row r="88" spans="1:27" ht="13.5" thickBot="1" x14ac:dyDescent="0.25">
      <c r="A88" s="168" t="s">
        <v>165</v>
      </c>
      <c r="X88" s="213"/>
      <c r="Y88" s="214" t="s">
        <v>166</v>
      </c>
      <c r="Z88" s="243" t="e">
        <f ca="1">Z86-Z87</f>
        <v>#REF!</v>
      </c>
    </row>
    <row r="89" spans="1:27" x14ac:dyDescent="0.2">
      <c r="A89" s="215" t="str">
        <f>Economics!A28</f>
        <v>4 Corners Unit 4</v>
      </c>
      <c r="B89" s="216">
        <f t="shared" ref="B89:Y89" si="19">B56</f>
        <v>105</v>
      </c>
      <c r="C89" s="216">
        <f t="shared" si="19"/>
        <v>105</v>
      </c>
      <c r="D89" s="216">
        <f t="shared" si="19"/>
        <v>80</v>
      </c>
      <c r="E89" s="216">
        <f>E56</f>
        <v>79</v>
      </c>
      <c r="F89" s="216">
        <f t="shared" si="19"/>
        <v>79</v>
      </c>
      <c r="G89" s="216">
        <f t="shared" si="19"/>
        <v>80</v>
      </c>
      <c r="H89" s="216">
        <f t="shared" si="19"/>
        <v>30</v>
      </c>
      <c r="I89" s="216">
        <f t="shared" si="19"/>
        <v>104</v>
      </c>
      <c r="J89" s="216">
        <f t="shared" si="19"/>
        <v>105</v>
      </c>
      <c r="K89" s="216">
        <f t="shared" si="19"/>
        <v>105</v>
      </c>
      <c r="L89" s="216">
        <f t="shared" si="19"/>
        <v>105</v>
      </c>
      <c r="M89" s="216">
        <f>M57</f>
        <v>0</v>
      </c>
      <c r="N89" s="216">
        <f t="shared" si="19"/>
        <v>105</v>
      </c>
      <c r="O89" s="216">
        <f t="shared" si="19"/>
        <v>102</v>
      </c>
      <c r="P89" s="216">
        <f t="shared" si="19"/>
        <v>105</v>
      </c>
      <c r="Q89" s="216">
        <f t="shared" si="19"/>
        <v>105</v>
      </c>
      <c r="R89" s="216">
        <f t="shared" si="19"/>
        <v>105</v>
      </c>
      <c r="S89" s="216">
        <f t="shared" si="19"/>
        <v>105</v>
      </c>
      <c r="T89" s="216">
        <f t="shared" si="19"/>
        <v>104</v>
      </c>
      <c r="U89" s="216">
        <f t="shared" si="19"/>
        <v>105</v>
      </c>
      <c r="V89" s="216">
        <f t="shared" si="19"/>
        <v>105</v>
      </c>
      <c r="W89" s="216">
        <f t="shared" si="19"/>
        <v>105</v>
      </c>
      <c r="X89" s="216">
        <f t="shared" si="19"/>
        <v>105</v>
      </c>
      <c r="Y89" s="216">
        <f t="shared" si="19"/>
        <v>103</v>
      </c>
      <c r="Z89" s="244">
        <f t="array" ref="Z89">SUM(B89:Y89*Economics!F$28)</f>
        <v>29170.057280000019</v>
      </c>
    </row>
    <row r="90" spans="1:27" x14ac:dyDescent="0.2">
      <c r="A90" s="179" t="s">
        <v>164</v>
      </c>
      <c r="B90" s="181">
        <v>103</v>
      </c>
      <c r="C90" s="181">
        <v>52</v>
      </c>
      <c r="D90" s="181">
        <v>2</v>
      </c>
      <c r="E90" s="181">
        <v>2</v>
      </c>
      <c r="F90" s="181">
        <v>2</v>
      </c>
      <c r="G90" s="181">
        <v>2</v>
      </c>
      <c r="H90" s="181">
        <v>52</v>
      </c>
      <c r="I90" s="181">
        <v>52</v>
      </c>
      <c r="J90" s="181">
        <v>52</v>
      </c>
      <c r="K90" s="181">
        <v>52</v>
      </c>
      <c r="L90" s="181">
        <v>103</v>
      </c>
      <c r="M90" s="181">
        <v>103</v>
      </c>
      <c r="N90" s="181">
        <v>103</v>
      </c>
      <c r="O90" s="181">
        <v>103</v>
      </c>
      <c r="P90" s="181">
        <v>103</v>
      </c>
      <c r="Q90" s="181">
        <v>103</v>
      </c>
      <c r="R90" s="181">
        <v>103</v>
      </c>
      <c r="S90" s="181">
        <v>103</v>
      </c>
      <c r="T90" s="181">
        <v>103</v>
      </c>
      <c r="U90" s="181">
        <v>103</v>
      </c>
      <c r="V90" s="181">
        <v>52</v>
      </c>
      <c r="W90" s="181">
        <v>52</v>
      </c>
      <c r="X90" s="181">
        <v>52</v>
      </c>
      <c r="Y90" s="181">
        <v>52</v>
      </c>
      <c r="Z90" s="245">
        <f t="array" ref="Z90">SUM(B90:Y90*Economics!F$28)</f>
        <v>21037.481919999995</v>
      </c>
    </row>
    <row r="91" spans="1:27" ht="13.5" thickBot="1" x14ac:dyDescent="0.25">
      <c r="A91" s="182" t="s">
        <v>166</v>
      </c>
      <c r="B91" s="195">
        <f t="shared" ref="B91:Y91" si="20">B90-B89</f>
        <v>-2</v>
      </c>
      <c r="C91" s="195">
        <f t="shared" si="20"/>
        <v>-53</v>
      </c>
      <c r="D91" s="195">
        <f t="shared" si="20"/>
        <v>-78</v>
      </c>
      <c r="E91" s="195">
        <f t="shared" si="20"/>
        <v>-77</v>
      </c>
      <c r="F91" s="195">
        <f t="shared" si="20"/>
        <v>-77</v>
      </c>
      <c r="G91" s="195">
        <f t="shared" si="20"/>
        <v>-78</v>
      </c>
      <c r="H91" s="195">
        <f t="shared" si="20"/>
        <v>22</v>
      </c>
      <c r="I91" s="195">
        <f t="shared" si="20"/>
        <v>-52</v>
      </c>
      <c r="J91" s="195">
        <f t="shared" si="20"/>
        <v>-53</v>
      </c>
      <c r="K91" s="195">
        <f t="shared" si="20"/>
        <v>-53</v>
      </c>
      <c r="L91" s="195">
        <f t="shared" si="20"/>
        <v>-2</v>
      </c>
      <c r="M91" s="195">
        <f t="shared" si="20"/>
        <v>103</v>
      </c>
      <c r="N91" s="195">
        <f t="shared" si="20"/>
        <v>-2</v>
      </c>
      <c r="O91" s="195">
        <f t="shared" si="20"/>
        <v>1</v>
      </c>
      <c r="P91" s="195">
        <f t="shared" si="20"/>
        <v>-2</v>
      </c>
      <c r="Q91" s="195">
        <f t="shared" si="20"/>
        <v>-2</v>
      </c>
      <c r="R91" s="195">
        <f t="shared" si="20"/>
        <v>-2</v>
      </c>
      <c r="S91" s="195">
        <f t="shared" si="20"/>
        <v>-2</v>
      </c>
      <c r="T91" s="195">
        <f t="shared" si="20"/>
        <v>-1</v>
      </c>
      <c r="U91" s="195">
        <f t="shared" si="20"/>
        <v>-2</v>
      </c>
      <c r="V91" s="195">
        <f t="shared" si="20"/>
        <v>-53</v>
      </c>
      <c r="W91" s="195">
        <f t="shared" si="20"/>
        <v>-53</v>
      </c>
      <c r="X91" s="195">
        <f t="shared" si="20"/>
        <v>-53</v>
      </c>
      <c r="Y91" s="195">
        <f t="shared" si="20"/>
        <v>-51</v>
      </c>
      <c r="Z91" s="247">
        <f>Z89-Z90</f>
        <v>8132.5753600000244</v>
      </c>
    </row>
    <row r="92" spans="1:27" x14ac:dyDescent="0.2">
      <c r="A92" s="178" t="str">
        <f>Economics!A29</f>
        <v>4 Corners Unit 5</v>
      </c>
      <c r="B92" s="176">
        <f t="shared" ref="B92:Y92" si="21">B57</f>
        <v>0</v>
      </c>
      <c r="C92" s="176">
        <f t="shared" si="21"/>
        <v>0</v>
      </c>
      <c r="D92" s="176">
        <f t="shared" si="21"/>
        <v>0</v>
      </c>
      <c r="E92" s="176">
        <f>E57</f>
        <v>0</v>
      </c>
      <c r="F92" s="176">
        <f t="shared" si="21"/>
        <v>0</v>
      </c>
      <c r="G92" s="176">
        <f t="shared" si="21"/>
        <v>0</v>
      </c>
      <c r="H92" s="176">
        <f t="shared" si="21"/>
        <v>0</v>
      </c>
      <c r="I92" s="176">
        <f t="shared" si="21"/>
        <v>0</v>
      </c>
      <c r="J92" s="176">
        <f t="shared" si="21"/>
        <v>0</v>
      </c>
      <c r="K92" s="176">
        <f t="shared" si="21"/>
        <v>0</v>
      </c>
      <c r="L92" s="176">
        <f t="shared" si="21"/>
        <v>0</v>
      </c>
      <c r="M92" s="176" t="e">
        <f>#REF!</f>
        <v>#REF!</v>
      </c>
      <c r="N92" s="176">
        <f t="shared" si="21"/>
        <v>0</v>
      </c>
      <c r="O92" s="176">
        <f t="shared" si="21"/>
        <v>0</v>
      </c>
      <c r="P92" s="176">
        <f t="shared" si="21"/>
        <v>0</v>
      </c>
      <c r="Q92" s="176">
        <f t="shared" si="21"/>
        <v>0</v>
      </c>
      <c r="R92" s="176">
        <f t="shared" si="21"/>
        <v>0</v>
      </c>
      <c r="S92" s="176">
        <f t="shared" si="21"/>
        <v>0</v>
      </c>
      <c r="T92" s="176">
        <f t="shared" si="21"/>
        <v>0</v>
      </c>
      <c r="U92" s="176">
        <f t="shared" si="21"/>
        <v>0</v>
      </c>
      <c r="V92" s="176">
        <f t="shared" si="21"/>
        <v>0</v>
      </c>
      <c r="W92" s="176">
        <f t="shared" si="21"/>
        <v>0</v>
      </c>
      <c r="X92" s="176">
        <f t="shared" si="21"/>
        <v>0</v>
      </c>
      <c r="Y92" s="176">
        <f t="shared" si="21"/>
        <v>0</v>
      </c>
      <c r="Z92" s="246" t="e">
        <f t="array" ref="Z92">SUM(B92:Y92*Economics!F$29)</f>
        <v>#REF!</v>
      </c>
    </row>
    <row r="93" spans="1:27" x14ac:dyDescent="0.2">
      <c r="A93" s="179" t="s">
        <v>164</v>
      </c>
      <c r="B93" s="181">
        <v>50</v>
      </c>
      <c r="C93" s="181"/>
      <c r="D93" s="181"/>
      <c r="E93" s="181"/>
      <c r="F93" s="181"/>
      <c r="G93" s="181"/>
      <c r="H93" s="181"/>
      <c r="I93" s="181"/>
      <c r="J93" s="181"/>
      <c r="K93" s="181"/>
      <c r="L93" s="181"/>
      <c r="M93" s="181"/>
      <c r="N93" s="181"/>
      <c r="O93" s="181"/>
      <c r="P93" s="181"/>
      <c r="Q93" s="181"/>
      <c r="R93" s="181"/>
      <c r="S93" s="181"/>
      <c r="T93" s="181"/>
      <c r="U93" s="181"/>
      <c r="V93" s="181"/>
      <c r="W93" s="181"/>
      <c r="X93" s="181"/>
      <c r="Y93" s="181"/>
      <c r="Z93" s="245">
        <f t="array" ref="Z93">SUM(B93:Y93*Economics!F$29)</f>
        <v>653.74400000000014</v>
      </c>
    </row>
    <row r="94" spans="1:27" ht="13.5" thickBot="1" x14ac:dyDescent="0.25">
      <c r="A94" s="182" t="s">
        <v>166</v>
      </c>
      <c r="B94" s="195">
        <f t="shared" ref="B94:Y94" si="22">B93-B92</f>
        <v>50</v>
      </c>
      <c r="C94" s="195">
        <f t="shared" si="22"/>
        <v>0</v>
      </c>
      <c r="D94" s="195">
        <f t="shared" si="22"/>
        <v>0</v>
      </c>
      <c r="E94" s="195">
        <f t="shared" si="22"/>
        <v>0</v>
      </c>
      <c r="F94" s="195">
        <f t="shared" si="22"/>
        <v>0</v>
      </c>
      <c r="G94" s="195">
        <f t="shared" si="22"/>
        <v>0</v>
      </c>
      <c r="H94" s="195">
        <f t="shared" si="22"/>
        <v>0</v>
      </c>
      <c r="I94" s="195">
        <f t="shared" si="22"/>
        <v>0</v>
      </c>
      <c r="J94" s="195">
        <f t="shared" si="22"/>
        <v>0</v>
      </c>
      <c r="K94" s="195">
        <f t="shared" si="22"/>
        <v>0</v>
      </c>
      <c r="L94" s="195">
        <f t="shared" si="22"/>
        <v>0</v>
      </c>
      <c r="M94" s="195" t="e">
        <f t="shared" si="22"/>
        <v>#REF!</v>
      </c>
      <c r="N94" s="195">
        <f t="shared" si="22"/>
        <v>0</v>
      </c>
      <c r="O94" s="195">
        <f t="shared" si="22"/>
        <v>0</v>
      </c>
      <c r="P94" s="195">
        <f t="shared" si="22"/>
        <v>0</v>
      </c>
      <c r="Q94" s="195">
        <f t="shared" si="22"/>
        <v>0</v>
      </c>
      <c r="R94" s="195">
        <f t="shared" si="22"/>
        <v>0</v>
      </c>
      <c r="S94" s="195">
        <f t="shared" si="22"/>
        <v>0</v>
      </c>
      <c r="T94" s="195">
        <f t="shared" si="22"/>
        <v>0</v>
      </c>
      <c r="U94" s="195">
        <f t="shared" si="22"/>
        <v>0</v>
      </c>
      <c r="V94" s="195">
        <f t="shared" si="22"/>
        <v>0</v>
      </c>
      <c r="W94" s="195">
        <f t="shared" si="22"/>
        <v>0</v>
      </c>
      <c r="X94" s="195">
        <f t="shared" si="22"/>
        <v>0</v>
      </c>
      <c r="Y94" s="195">
        <f t="shared" si="22"/>
        <v>0</v>
      </c>
      <c r="Z94" s="247" t="e">
        <f>Z92-Z93</f>
        <v>#REF!</v>
      </c>
    </row>
    <row r="95" spans="1:27" x14ac:dyDescent="0.2">
      <c r="A95" s="178" t="str">
        <f>Economics!A30</f>
        <v>PV Unit 1</v>
      </c>
      <c r="B95" s="176">
        <f t="shared" ref="B95:Y95" si="23">B53</f>
        <v>139</v>
      </c>
      <c r="C95" s="176">
        <f t="shared" si="23"/>
        <v>139</v>
      </c>
      <c r="D95" s="176">
        <f t="shared" si="23"/>
        <v>139</v>
      </c>
      <c r="E95" s="176">
        <f>E53</f>
        <v>139</v>
      </c>
      <c r="F95" s="176">
        <f t="shared" si="23"/>
        <v>139</v>
      </c>
      <c r="G95" s="176">
        <f t="shared" si="23"/>
        <v>139</v>
      </c>
      <c r="H95" s="176">
        <f t="shared" si="23"/>
        <v>139</v>
      </c>
      <c r="I95" s="176">
        <f t="shared" si="23"/>
        <v>139</v>
      </c>
      <c r="J95" s="176">
        <f t="shared" si="23"/>
        <v>138</v>
      </c>
      <c r="K95" s="176">
        <f t="shared" si="23"/>
        <v>138</v>
      </c>
      <c r="L95" s="176">
        <f t="shared" si="23"/>
        <v>138</v>
      </c>
      <c r="M95" s="176">
        <f t="shared" si="23"/>
        <v>138</v>
      </c>
      <c r="N95" s="176">
        <f t="shared" si="23"/>
        <v>138</v>
      </c>
      <c r="O95" s="176">
        <f t="shared" si="23"/>
        <v>138</v>
      </c>
      <c r="P95" s="176">
        <f t="shared" si="23"/>
        <v>139</v>
      </c>
      <c r="Q95" s="176">
        <f t="shared" si="23"/>
        <v>140</v>
      </c>
      <c r="R95" s="176">
        <f t="shared" si="23"/>
        <v>141</v>
      </c>
      <c r="S95" s="176">
        <f t="shared" si="23"/>
        <v>143</v>
      </c>
      <c r="T95" s="176">
        <f t="shared" si="23"/>
        <v>145</v>
      </c>
      <c r="U95" s="176">
        <f t="shared" si="23"/>
        <v>147</v>
      </c>
      <c r="V95" s="176">
        <f t="shared" si="23"/>
        <v>148</v>
      </c>
      <c r="W95" s="176">
        <f t="shared" si="23"/>
        <v>149</v>
      </c>
      <c r="X95" s="176">
        <f t="shared" si="23"/>
        <v>151</v>
      </c>
      <c r="Y95" s="176">
        <f t="shared" si="23"/>
        <v>154</v>
      </c>
      <c r="Z95" s="246">
        <f t="array" ref="Z95">SUM(B95:Y95*Economics!F$30)</f>
        <v>20708.111999999997</v>
      </c>
    </row>
    <row r="96" spans="1:27" x14ac:dyDescent="0.2">
      <c r="A96" s="179" t="s">
        <v>164</v>
      </c>
      <c r="B96" s="181">
        <v>200</v>
      </c>
      <c r="C96" s="181">
        <v>200</v>
      </c>
      <c r="D96" s="181">
        <v>200</v>
      </c>
      <c r="E96" s="181">
        <v>200</v>
      </c>
      <c r="F96" s="181">
        <v>200</v>
      </c>
      <c r="G96" s="181">
        <v>200</v>
      </c>
      <c r="H96" s="181">
        <v>200</v>
      </c>
      <c r="I96" s="181">
        <v>200</v>
      </c>
      <c r="J96" s="181">
        <v>200</v>
      </c>
      <c r="K96" s="181">
        <v>200</v>
      </c>
      <c r="L96" s="181">
        <v>200</v>
      </c>
      <c r="M96" s="181">
        <v>200</v>
      </c>
      <c r="N96" s="181">
        <v>200</v>
      </c>
      <c r="O96" s="181">
        <v>200</v>
      </c>
      <c r="P96" s="181">
        <v>200</v>
      </c>
      <c r="Q96" s="181">
        <v>200</v>
      </c>
      <c r="R96" s="181">
        <v>200</v>
      </c>
      <c r="S96" s="181">
        <v>200</v>
      </c>
      <c r="T96" s="181">
        <v>200</v>
      </c>
      <c r="U96" s="181">
        <v>200</v>
      </c>
      <c r="V96" s="181">
        <v>200</v>
      </c>
      <c r="W96" s="181">
        <v>200</v>
      </c>
      <c r="X96" s="181">
        <v>200</v>
      </c>
      <c r="Y96" s="181">
        <v>200</v>
      </c>
      <c r="Z96" s="245">
        <f t="array" ref="Z96">SUM(B96:Y96*Economics!F$30)</f>
        <v>29260.80000000001</v>
      </c>
    </row>
    <row r="97" spans="1:29" ht="13.5" thickBot="1" x14ac:dyDescent="0.25">
      <c r="A97" s="182" t="s">
        <v>166</v>
      </c>
      <c r="B97" s="195">
        <f t="shared" ref="B97:Y97" si="24">B96-B95</f>
        <v>61</v>
      </c>
      <c r="C97" s="195">
        <f t="shared" si="24"/>
        <v>61</v>
      </c>
      <c r="D97" s="195">
        <f t="shared" si="24"/>
        <v>61</v>
      </c>
      <c r="E97" s="195">
        <f t="shared" si="24"/>
        <v>61</v>
      </c>
      <c r="F97" s="195">
        <f t="shared" si="24"/>
        <v>61</v>
      </c>
      <c r="G97" s="195">
        <f t="shared" si="24"/>
        <v>61</v>
      </c>
      <c r="H97" s="195">
        <f t="shared" si="24"/>
        <v>61</v>
      </c>
      <c r="I97" s="195">
        <f t="shared" si="24"/>
        <v>61</v>
      </c>
      <c r="J97" s="195">
        <f t="shared" si="24"/>
        <v>62</v>
      </c>
      <c r="K97" s="195">
        <f t="shared" si="24"/>
        <v>62</v>
      </c>
      <c r="L97" s="195">
        <f t="shared" si="24"/>
        <v>62</v>
      </c>
      <c r="M97" s="195">
        <f t="shared" si="24"/>
        <v>62</v>
      </c>
      <c r="N97" s="195">
        <f t="shared" si="24"/>
        <v>62</v>
      </c>
      <c r="O97" s="195">
        <f t="shared" si="24"/>
        <v>62</v>
      </c>
      <c r="P97" s="195">
        <f t="shared" si="24"/>
        <v>61</v>
      </c>
      <c r="Q97" s="195">
        <f t="shared" si="24"/>
        <v>60</v>
      </c>
      <c r="R97" s="195">
        <f t="shared" si="24"/>
        <v>59</v>
      </c>
      <c r="S97" s="195">
        <f t="shared" si="24"/>
        <v>57</v>
      </c>
      <c r="T97" s="195">
        <f t="shared" si="24"/>
        <v>55</v>
      </c>
      <c r="U97" s="195">
        <f t="shared" si="24"/>
        <v>53</v>
      </c>
      <c r="V97" s="195">
        <f t="shared" si="24"/>
        <v>52</v>
      </c>
      <c r="W97" s="195">
        <f t="shared" si="24"/>
        <v>51</v>
      </c>
      <c r="X97" s="195">
        <f t="shared" si="24"/>
        <v>49</v>
      </c>
      <c r="Y97" s="195">
        <f t="shared" si="24"/>
        <v>46</v>
      </c>
      <c r="Z97" s="247">
        <f>Z95-Z96</f>
        <v>-8552.6880000000128</v>
      </c>
    </row>
    <row r="98" spans="1:29" x14ac:dyDescent="0.2">
      <c r="A98" s="178" t="str">
        <f>Economics!A31</f>
        <v>PV Unit 2</v>
      </c>
      <c r="B98" s="176">
        <f t="shared" ref="B98:Y98" si="25">B54</f>
        <v>139</v>
      </c>
      <c r="C98" s="176">
        <f t="shared" si="25"/>
        <v>139</v>
      </c>
      <c r="D98" s="176">
        <f t="shared" si="25"/>
        <v>139</v>
      </c>
      <c r="E98" s="176">
        <f>E54</f>
        <v>139</v>
      </c>
      <c r="F98" s="176">
        <f t="shared" si="25"/>
        <v>139</v>
      </c>
      <c r="G98" s="176">
        <f t="shared" si="25"/>
        <v>139</v>
      </c>
      <c r="H98" s="176">
        <f t="shared" si="25"/>
        <v>139</v>
      </c>
      <c r="I98" s="176">
        <f t="shared" si="25"/>
        <v>139</v>
      </c>
      <c r="J98" s="176">
        <f t="shared" si="25"/>
        <v>138</v>
      </c>
      <c r="K98" s="176">
        <f t="shared" si="25"/>
        <v>138</v>
      </c>
      <c r="L98" s="176">
        <f t="shared" si="25"/>
        <v>138</v>
      </c>
      <c r="M98" s="176">
        <f t="shared" si="25"/>
        <v>138</v>
      </c>
      <c r="N98" s="176">
        <f t="shared" si="25"/>
        <v>138</v>
      </c>
      <c r="O98" s="176">
        <f t="shared" si="25"/>
        <v>138</v>
      </c>
      <c r="P98" s="176">
        <f t="shared" si="25"/>
        <v>139</v>
      </c>
      <c r="Q98" s="176">
        <f t="shared" si="25"/>
        <v>140</v>
      </c>
      <c r="R98" s="176">
        <f t="shared" si="25"/>
        <v>141</v>
      </c>
      <c r="S98" s="176">
        <f t="shared" si="25"/>
        <v>143</v>
      </c>
      <c r="T98" s="176">
        <f t="shared" si="25"/>
        <v>145</v>
      </c>
      <c r="U98" s="176">
        <f t="shared" si="25"/>
        <v>147</v>
      </c>
      <c r="V98" s="176">
        <f t="shared" si="25"/>
        <v>148</v>
      </c>
      <c r="W98" s="176">
        <f t="shared" si="25"/>
        <v>149</v>
      </c>
      <c r="X98" s="176">
        <f t="shared" si="25"/>
        <v>151</v>
      </c>
      <c r="Y98" s="176">
        <f t="shared" si="25"/>
        <v>154</v>
      </c>
      <c r="Z98" s="246">
        <f t="array" ref="Z98">SUM(B98:Y98*Economics!F$31)</f>
        <v>20708.111999999997</v>
      </c>
    </row>
    <row r="99" spans="1:29" x14ac:dyDescent="0.2">
      <c r="A99" s="179" t="s">
        <v>164</v>
      </c>
      <c r="B99" s="181">
        <v>194</v>
      </c>
      <c r="C99" s="181">
        <v>194</v>
      </c>
      <c r="D99" s="181">
        <v>194</v>
      </c>
      <c r="E99" s="181">
        <v>194</v>
      </c>
      <c r="F99" s="181">
        <v>195</v>
      </c>
      <c r="G99" s="181">
        <v>195</v>
      </c>
      <c r="H99" s="181">
        <v>195</v>
      </c>
      <c r="I99" s="181">
        <v>195</v>
      </c>
      <c r="J99" s="181">
        <v>195</v>
      </c>
      <c r="K99" s="181">
        <v>195</v>
      </c>
      <c r="L99" s="181">
        <v>195</v>
      </c>
      <c r="M99" s="181">
        <v>195</v>
      </c>
      <c r="N99" s="181">
        <v>195</v>
      </c>
      <c r="O99" s="181">
        <v>195</v>
      </c>
      <c r="P99" s="181">
        <v>195</v>
      </c>
      <c r="Q99" s="181">
        <v>195</v>
      </c>
      <c r="R99" s="181">
        <v>195</v>
      </c>
      <c r="S99" s="181">
        <v>195</v>
      </c>
      <c r="T99" s="181">
        <v>195</v>
      </c>
      <c r="U99" s="181">
        <v>195</v>
      </c>
      <c r="V99" s="181">
        <v>195</v>
      </c>
      <c r="W99" s="181">
        <v>195</v>
      </c>
      <c r="X99" s="181">
        <v>195</v>
      </c>
      <c r="Y99" s="181">
        <v>195</v>
      </c>
      <c r="Z99" s="245">
        <f t="array" ref="Z99">SUM(B99:Y99*Economics!F$31)</f>
        <v>28504.896000000008</v>
      </c>
    </row>
    <row r="100" spans="1:29" ht="13.5" thickBot="1" x14ac:dyDescent="0.25">
      <c r="A100" s="182" t="s">
        <v>166</v>
      </c>
      <c r="B100" s="195">
        <f t="shared" ref="B100:Y100" si="26">B99-B98</f>
        <v>55</v>
      </c>
      <c r="C100" s="195">
        <f t="shared" si="26"/>
        <v>55</v>
      </c>
      <c r="D100" s="195">
        <f t="shared" si="26"/>
        <v>55</v>
      </c>
      <c r="E100" s="195">
        <f t="shared" si="26"/>
        <v>55</v>
      </c>
      <c r="F100" s="195">
        <f t="shared" si="26"/>
        <v>56</v>
      </c>
      <c r="G100" s="195">
        <f t="shared" si="26"/>
        <v>56</v>
      </c>
      <c r="H100" s="195">
        <f t="shared" si="26"/>
        <v>56</v>
      </c>
      <c r="I100" s="195">
        <f t="shared" si="26"/>
        <v>56</v>
      </c>
      <c r="J100" s="195">
        <f t="shared" si="26"/>
        <v>57</v>
      </c>
      <c r="K100" s="195">
        <f t="shared" si="26"/>
        <v>57</v>
      </c>
      <c r="L100" s="195">
        <f t="shared" si="26"/>
        <v>57</v>
      </c>
      <c r="M100" s="195">
        <f t="shared" si="26"/>
        <v>57</v>
      </c>
      <c r="N100" s="195">
        <f t="shared" si="26"/>
        <v>57</v>
      </c>
      <c r="O100" s="195">
        <f t="shared" si="26"/>
        <v>57</v>
      </c>
      <c r="P100" s="195">
        <f t="shared" si="26"/>
        <v>56</v>
      </c>
      <c r="Q100" s="195">
        <f t="shared" si="26"/>
        <v>55</v>
      </c>
      <c r="R100" s="195">
        <f t="shared" si="26"/>
        <v>54</v>
      </c>
      <c r="S100" s="195">
        <f t="shared" si="26"/>
        <v>52</v>
      </c>
      <c r="T100" s="195">
        <f t="shared" si="26"/>
        <v>50</v>
      </c>
      <c r="U100" s="195">
        <f t="shared" si="26"/>
        <v>48</v>
      </c>
      <c r="V100" s="195">
        <f t="shared" si="26"/>
        <v>47</v>
      </c>
      <c r="W100" s="195">
        <f t="shared" si="26"/>
        <v>46</v>
      </c>
      <c r="X100" s="195">
        <f t="shared" si="26"/>
        <v>44</v>
      </c>
      <c r="Y100" s="195">
        <f t="shared" si="26"/>
        <v>41</v>
      </c>
      <c r="Z100" s="247">
        <f>Z98-Z99</f>
        <v>-7796.7840000000106</v>
      </c>
    </row>
    <row r="101" spans="1:29" x14ac:dyDescent="0.2">
      <c r="A101" s="178" t="str">
        <f>Economics!A32</f>
        <v>PV Unit 3</v>
      </c>
      <c r="B101" s="176">
        <f t="shared" ref="B101:Y101" si="27">B55</f>
        <v>139</v>
      </c>
      <c r="C101" s="176">
        <f t="shared" si="27"/>
        <v>138</v>
      </c>
      <c r="D101" s="176">
        <f t="shared" si="27"/>
        <v>139</v>
      </c>
      <c r="E101" s="176">
        <f>E55</f>
        <v>139</v>
      </c>
      <c r="F101" s="176">
        <f t="shared" si="27"/>
        <v>139</v>
      </c>
      <c r="G101" s="176">
        <f t="shared" si="27"/>
        <v>139</v>
      </c>
      <c r="H101" s="176">
        <f t="shared" si="27"/>
        <v>139</v>
      </c>
      <c r="I101" s="176">
        <f t="shared" si="27"/>
        <v>139</v>
      </c>
      <c r="J101" s="176">
        <f t="shared" si="27"/>
        <v>138</v>
      </c>
      <c r="K101" s="176">
        <f t="shared" si="27"/>
        <v>138</v>
      </c>
      <c r="L101" s="176">
        <f t="shared" si="27"/>
        <v>138</v>
      </c>
      <c r="M101" s="176">
        <f t="shared" si="27"/>
        <v>138</v>
      </c>
      <c r="N101" s="176">
        <f t="shared" si="27"/>
        <v>138</v>
      </c>
      <c r="O101" s="176">
        <f t="shared" si="27"/>
        <v>138</v>
      </c>
      <c r="P101" s="176">
        <f t="shared" si="27"/>
        <v>138</v>
      </c>
      <c r="Q101" s="176">
        <f t="shared" si="27"/>
        <v>140</v>
      </c>
      <c r="R101" s="176">
        <f t="shared" si="27"/>
        <v>141</v>
      </c>
      <c r="S101" s="176">
        <f t="shared" si="27"/>
        <v>143</v>
      </c>
      <c r="T101" s="176">
        <f t="shared" si="27"/>
        <v>145</v>
      </c>
      <c r="U101" s="176">
        <f t="shared" si="27"/>
        <v>147</v>
      </c>
      <c r="V101" s="176">
        <f t="shared" si="27"/>
        <v>148</v>
      </c>
      <c r="W101" s="176">
        <f t="shared" si="27"/>
        <v>149</v>
      </c>
      <c r="X101" s="176">
        <f t="shared" si="27"/>
        <v>151</v>
      </c>
      <c r="Y101" s="176">
        <f t="shared" si="27"/>
        <v>154</v>
      </c>
      <c r="Z101" s="246">
        <f t="array" ref="Z101">SUM(B101:Y101*Economics!F$32)</f>
        <v>20695.919999999995</v>
      </c>
    </row>
    <row r="102" spans="1:29" x14ac:dyDescent="0.2">
      <c r="A102" s="179" t="s">
        <v>164</v>
      </c>
      <c r="B102" s="181">
        <v>200</v>
      </c>
      <c r="C102" s="181">
        <v>200</v>
      </c>
      <c r="D102" s="181">
        <v>200</v>
      </c>
      <c r="E102" s="181">
        <v>200</v>
      </c>
      <c r="F102" s="181">
        <v>200</v>
      </c>
      <c r="G102" s="181">
        <v>200</v>
      </c>
      <c r="H102" s="181">
        <v>200</v>
      </c>
      <c r="I102" s="181">
        <v>200</v>
      </c>
      <c r="J102" s="181">
        <v>200</v>
      </c>
      <c r="K102" s="181">
        <v>200</v>
      </c>
      <c r="L102" s="181">
        <v>200</v>
      </c>
      <c r="M102" s="181">
        <v>200</v>
      </c>
      <c r="N102" s="181">
        <v>200</v>
      </c>
      <c r="O102" s="181">
        <v>200</v>
      </c>
      <c r="P102" s="181">
        <v>200</v>
      </c>
      <c r="Q102" s="181">
        <v>200</v>
      </c>
      <c r="R102" s="181">
        <v>200</v>
      </c>
      <c r="S102" s="181">
        <v>200</v>
      </c>
      <c r="T102" s="181">
        <v>200</v>
      </c>
      <c r="U102" s="181">
        <v>200</v>
      </c>
      <c r="V102" s="181">
        <v>200</v>
      </c>
      <c r="W102" s="181">
        <v>200</v>
      </c>
      <c r="X102" s="181">
        <v>200</v>
      </c>
      <c r="Y102" s="181">
        <v>200</v>
      </c>
      <c r="Z102" s="245">
        <f t="array" ref="Z102">SUM(B102:Y102*Economics!F$32)</f>
        <v>29260.80000000001</v>
      </c>
    </row>
    <row r="103" spans="1:29" ht="13.5" thickBot="1" x14ac:dyDescent="0.25">
      <c r="A103" s="182" t="s">
        <v>166</v>
      </c>
      <c r="B103" s="195">
        <f t="shared" ref="B103:Y103" si="28">B102-B101</f>
        <v>61</v>
      </c>
      <c r="C103" s="195">
        <f t="shared" si="28"/>
        <v>62</v>
      </c>
      <c r="D103" s="195">
        <f t="shared" si="28"/>
        <v>61</v>
      </c>
      <c r="E103" s="195">
        <f t="shared" si="28"/>
        <v>61</v>
      </c>
      <c r="F103" s="195">
        <f t="shared" si="28"/>
        <v>61</v>
      </c>
      <c r="G103" s="195">
        <f t="shared" si="28"/>
        <v>61</v>
      </c>
      <c r="H103" s="195">
        <f t="shared" si="28"/>
        <v>61</v>
      </c>
      <c r="I103" s="195">
        <f t="shared" si="28"/>
        <v>61</v>
      </c>
      <c r="J103" s="195">
        <f t="shared" si="28"/>
        <v>62</v>
      </c>
      <c r="K103" s="195">
        <f t="shared" si="28"/>
        <v>62</v>
      </c>
      <c r="L103" s="195">
        <f t="shared" si="28"/>
        <v>62</v>
      </c>
      <c r="M103" s="195">
        <f t="shared" si="28"/>
        <v>62</v>
      </c>
      <c r="N103" s="195">
        <f t="shared" si="28"/>
        <v>62</v>
      </c>
      <c r="O103" s="195">
        <f t="shared" si="28"/>
        <v>62</v>
      </c>
      <c r="P103" s="195">
        <f t="shared" si="28"/>
        <v>62</v>
      </c>
      <c r="Q103" s="195">
        <f t="shared" si="28"/>
        <v>60</v>
      </c>
      <c r="R103" s="195">
        <f t="shared" si="28"/>
        <v>59</v>
      </c>
      <c r="S103" s="195">
        <f t="shared" si="28"/>
        <v>57</v>
      </c>
      <c r="T103" s="195">
        <f t="shared" si="28"/>
        <v>55</v>
      </c>
      <c r="U103" s="195">
        <f t="shared" si="28"/>
        <v>53</v>
      </c>
      <c r="V103" s="195">
        <f t="shared" si="28"/>
        <v>52</v>
      </c>
      <c r="W103" s="195">
        <f t="shared" si="28"/>
        <v>51</v>
      </c>
      <c r="X103" s="195">
        <f t="shared" si="28"/>
        <v>49</v>
      </c>
      <c r="Y103" s="195">
        <f t="shared" si="28"/>
        <v>46</v>
      </c>
      <c r="Z103" s="247">
        <f>Z101-Z102</f>
        <v>-8564.8800000000156</v>
      </c>
    </row>
    <row r="104" spans="1:29" x14ac:dyDescent="0.2">
      <c r="A104" s="178" t="str">
        <f>Economics!A34</f>
        <v>Newman 1</v>
      </c>
      <c r="B104" s="176">
        <v>31</v>
      </c>
      <c r="C104" s="176">
        <f t="shared" ref="C104:R104" si="29">C41</f>
        <v>34</v>
      </c>
      <c r="D104" s="176">
        <f t="shared" si="29"/>
        <v>34</v>
      </c>
      <c r="E104" s="176">
        <f>E41</f>
        <v>34</v>
      </c>
      <c r="F104" s="176">
        <f t="shared" si="29"/>
        <v>35</v>
      </c>
      <c r="G104" s="176">
        <f t="shared" si="29"/>
        <v>34</v>
      </c>
      <c r="H104" s="176">
        <f t="shared" si="29"/>
        <v>34</v>
      </c>
      <c r="I104" s="176">
        <f>I41</f>
        <v>37</v>
      </c>
      <c r="J104" s="176">
        <f t="shared" si="29"/>
        <v>56</v>
      </c>
      <c r="K104" s="176">
        <f t="shared" si="29"/>
        <v>49</v>
      </c>
      <c r="L104" s="176">
        <f t="shared" si="29"/>
        <v>40</v>
      </c>
      <c r="M104" s="176">
        <f t="shared" si="29"/>
        <v>42</v>
      </c>
      <c r="N104" s="176">
        <f t="shared" si="29"/>
        <v>51</v>
      </c>
      <c r="O104" s="176">
        <f t="shared" si="29"/>
        <v>42</v>
      </c>
      <c r="P104" s="176">
        <f t="shared" si="29"/>
        <v>39</v>
      </c>
      <c r="Q104" s="176">
        <f t="shared" si="29"/>
        <v>39</v>
      </c>
      <c r="R104" s="176">
        <f t="shared" si="29"/>
        <v>39</v>
      </c>
      <c r="S104" s="176">
        <v>34</v>
      </c>
      <c r="T104" s="176">
        <v>34</v>
      </c>
      <c r="U104" s="176">
        <v>34</v>
      </c>
      <c r="V104" s="176">
        <v>34</v>
      </c>
      <c r="W104" s="176">
        <f>W41</f>
        <v>38</v>
      </c>
      <c r="X104" s="176">
        <f>X41</f>
        <v>39</v>
      </c>
      <c r="Y104" s="176">
        <f>Y41</f>
        <v>40</v>
      </c>
      <c r="Z104" s="207">
        <f>SUM(B104:Y104)</f>
        <v>923</v>
      </c>
      <c r="AA104" s="302" t="s">
        <v>167</v>
      </c>
    </row>
    <row r="105" spans="1:29" x14ac:dyDescent="0.2">
      <c r="A105" s="180">
        <f>Economics!$I34</f>
        <v>1.96</v>
      </c>
      <c r="B105" s="184" t="e">
        <f t="shared" ref="B105:Y105" ca="1" si="30">IndGencost(B104,OFFSET(HeatRateStart,1,MATCH($A104,HeatRateNames,0)-1,250,1),$A105)</f>
        <v>#NAME?</v>
      </c>
      <c r="C105" s="184" t="e">
        <f t="shared" ca="1" si="30"/>
        <v>#NAME?</v>
      </c>
      <c r="D105" s="184" t="e">
        <f t="shared" ca="1" si="30"/>
        <v>#NAME?</v>
      </c>
      <c r="E105" s="184" t="e">
        <f ca="1">IndGencost(E104,OFFSET(HeatRateStart,1,MATCH($A104,HeatRateNames,0)-1,250,1),$A105)</f>
        <v>#NAME?</v>
      </c>
      <c r="F105" s="184" t="e">
        <f t="shared" ca="1" si="30"/>
        <v>#NAME?</v>
      </c>
      <c r="G105" s="184" t="e">
        <f t="shared" ca="1" si="30"/>
        <v>#NAME?</v>
      </c>
      <c r="H105" s="184" t="e">
        <f t="shared" ca="1" si="30"/>
        <v>#NAME?</v>
      </c>
      <c r="I105" s="184" t="e">
        <f t="shared" ca="1" si="30"/>
        <v>#NAME?</v>
      </c>
      <c r="J105" s="184" t="e">
        <f t="shared" ca="1" si="30"/>
        <v>#NAME?</v>
      </c>
      <c r="K105" s="184" t="e">
        <f t="shared" ca="1" si="30"/>
        <v>#NAME?</v>
      </c>
      <c r="L105" s="184" t="e">
        <f t="shared" ca="1" si="30"/>
        <v>#NAME?</v>
      </c>
      <c r="M105" s="184" t="e">
        <f t="shared" ca="1" si="30"/>
        <v>#NAME?</v>
      </c>
      <c r="N105" s="184" t="e">
        <f t="shared" ca="1" si="30"/>
        <v>#NAME?</v>
      </c>
      <c r="O105" s="184" t="e">
        <f t="shared" ca="1" si="30"/>
        <v>#NAME?</v>
      </c>
      <c r="P105" s="184" t="e">
        <f t="shared" ca="1" si="30"/>
        <v>#NAME?</v>
      </c>
      <c r="Q105" s="184" t="e">
        <f t="shared" ca="1" si="30"/>
        <v>#NAME?</v>
      </c>
      <c r="R105" s="184" t="e">
        <f t="shared" ca="1" si="30"/>
        <v>#NAME?</v>
      </c>
      <c r="S105" s="184" t="e">
        <f t="shared" ca="1" si="30"/>
        <v>#NAME?</v>
      </c>
      <c r="T105" s="184" t="e">
        <f t="shared" ca="1" si="30"/>
        <v>#NAME?</v>
      </c>
      <c r="U105" s="184" t="e">
        <f t="shared" ca="1" si="30"/>
        <v>#NAME?</v>
      </c>
      <c r="V105" s="184" t="e">
        <f t="shared" ca="1" si="30"/>
        <v>#NAME?</v>
      </c>
      <c r="W105" s="184" t="e">
        <f t="shared" ca="1" si="30"/>
        <v>#NAME?</v>
      </c>
      <c r="X105" s="184" t="e">
        <f t="shared" ca="1" si="30"/>
        <v>#NAME?</v>
      </c>
      <c r="Y105" s="184" t="e">
        <f t="shared" ca="1" si="30"/>
        <v>#NAME?</v>
      </c>
      <c r="Z105" s="246" t="e">
        <f t="array" aca="1" ref="Z105" ca="1">SUM(B104:Y104*B105:Y105)</f>
        <v>#NAME?</v>
      </c>
      <c r="AA105" s="302" t="s">
        <v>168</v>
      </c>
    </row>
    <row r="106" spans="1:29" x14ac:dyDescent="0.2">
      <c r="A106" s="179" t="s">
        <v>169</v>
      </c>
      <c r="B106" s="181">
        <v>30</v>
      </c>
      <c r="C106" s="181">
        <v>30</v>
      </c>
      <c r="D106" s="181">
        <v>30</v>
      </c>
      <c r="E106" s="181">
        <v>30</v>
      </c>
      <c r="F106" s="181">
        <v>30</v>
      </c>
      <c r="G106" s="181">
        <v>30</v>
      </c>
      <c r="H106" s="181">
        <v>30</v>
      </c>
      <c r="I106" s="181">
        <v>30</v>
      </c>
      <c r="J106" s="181">
        <v>30</v>
      </c>
      <c r="K106" s="181">
        <v>30</v>
      </c>
      <c r="L106" s="181">
        <v>30</v>
      </c>
      <c r="M106" s="181">
        <v>30</v>
      </c>
      <c r="N106" s="181">
        <v>30</v>
      </c>
      <c r="O106" s="181">
        <v>30</v>
      </c>
      <c r="P106" s="181">
        <v>30</v>
      </c>
      <c r="Q106" s="181">
        <v>30</v>
      </c>
      <c r="R106" s="181">
        <v>30</v>
      </c>
      <c r="S106" s="181">
        <v>30</v>
      </c>
      <c r="T106" s="181">
        <v>30</v>
      </c>
      <c r="U106" s="181">
        <v>30</v>
      </c>
      <c r="V106" s="181">
        <v>30</v>
      </c>
      <c r="W106" s="181">
        <v>30</v>
      </c>
      <c r="X106" s="181">
        <v>30</v>
      </c>
      <c r="Y106" s="181">
        <v>30</v>
      </c>
      <c r="Z106" s="208">
        <f>SUM(B106:Y106)</f>
        <v>720</v>
      </c>
      <c r="AA106" s="248" t="s">
        <v>170</v>
      </c>
    </row>
    <row r="107" spans="1:29" x14ac:dyDescent="0.2">
      <c r="A107" s="177"/>
      <c r="B107" s="185" t="e">
        <f t="shared" ref="B107:Y107" ca="1" si="31">IndGencost(B106,OFFSET(HeatRateStart,1,MATCH($A104,HeatRateNames,0)-1,250,1),$A105)</f>
        <v>#NAME?</v>
      </c>
      <c r="C107" s="185" t="e">
        <f t="shared" ca="1" si="31"/>
        <v>#NAME?</v>
      </c>
      <c r="D107" s="185" t="e">
        <f t="shared" ca="1" si="31"/>
        <v>#NAME?</v>
      </c>
      <c r="E107" s="185" t="e">
        <f ca="1">IndGencost(E106,OFFSET(HeatRateStart,1,MATCH($A104,HeatRateNames,0)-1,250,1),$A105)</f>
        <v>#NAME?</v>
      </c>
      <c r="F107" s="185" t="e">
        <f t="shared" ca="1" si="31"/>
        <v>#NAME?</v>
      </c>
      <c r="G107" s="185" t="e">
        <f t="shared" ca="1" si="31"/>
        <v>#NAME?</v>
      </c>
      <c r="H107" s="185" t="e">
        <f t="shared" ca="1" si="31"/>
        <v>#NAME?</v>
      </c>
      <c r="I107" s="185" t="e">
        <f t="shared" ca="1" si="31"/>
        <v>#NAME?</v>
      </c>
      <c r="J107" s="185" t="e">
        <f t="shared" ca="1" si="31"/>
        <v>#NAME?</v>
      </c>
      <c r="K107" s="185" t="e">
        <f t="shared" ca="1" si="31"/>
        <v>#NAME?</v>
      </c>
      <c r="L107" s="185" t="e">
        <f t="shared" ca="1" si="31"/>
        <v>#NAME?</v>
      </c>
      <c r="M107" s="185" t="e">
        <f t="shared" ca="1" si="31"/>
        <v>#NAME?</v>
      </c>
      <c r="N107" s="185" t="e">
        <f t="shared" ca="1" si="31"/>
        <v>#NAME?</v>
      </c>
      <c r="O107" s="185" t="e">
        <f t="shared" ca="1" si="31"/>
        <v>#NAME?</v>
      </c>
      <c r="P107" s="185" t="e">
        <f t="shared" ca="1" si="31"/>
        <v>#NAME?</v>
      </c>
      <c r="Q107" s="185" t="e">
        <f t="shared" ca="1" si="31"/>
        <v>#NAME?</v>
      </c>
      <c r="R107" s="185" t="e">
        <f t="shared" ca="1" si="31"/>
        <v>#NAME?</v>
      </c>
      <c r="S107" s="185" t="e">
        <f t="shared" ca="1" si="31"/>
        <v>#NAME?</v>
      </c>
      <c r="T107" s="185" t="e">
        <f t="shared" ca="1" si="31"/>
        <v>#NAME?</v>
      </c>
      <c r="U107" s="185" t="e">
        <f t="shared" ca="1" si="31"/>
        <v>#NAME?</v>
      </c>
      <c r="V107" s="185" t="e">
        <f t="shared" ca="1" si="31"/>
        <v>#NAME?</v>
      </c>
      <c r="W107" s="185" t="e">
        <f t="shared" ca="1" si="31"/>
        <v>#NAME?</v>
      </c>
      <c r="X107" s="185" t="e">
        <f t="shared" ca="1" si="31"/>
        <v>#NAME?</v>
      </c>
      <c r="Y107" s="185" t="e">
        <f t="shared" ca="1" si="31"/>
        <v>#NAME?</v>
      </c>
      <c r="Z107" s="245" t="e">
        <f t="array" aca="1" ref="Z107" ca="1">SUM(B106:Y106*B107:Y107)</f>
        <v>#NAME?</v>
      </c>
      <c r="AA107" s="258"/>
    </row>
    <row r="108" spans="1:29" ht="13.5" thickBot="1" x14ac:dyDescent="0.25">
      <c r="A108" s="182" t="s">
        <v>166</v>
      </c>
      <c r="B108" s="183" t="e">
        <f t="shared" ref="B108:Y108" ca="1" si="32">B107-B105</f>
        <v>#NAME?</v>
      </c>
      <c r="C108" s="183" t="e">
        <f t="shared" ca="1" si="32"/>
        <v>#NAME?</v>
      </c>
      <c r="D108" s="183" t="e">
        <f t="shared" ca="1" si="32"/>
        <v>#NAME?</v>
      </c>
      <c r="E108" s="183" t="e">
        <f t="shared" ca="1" si="32"/>
        <v>#NAME?</v>
      </c>
      <c r="F108" s="183" t="e">
        <f t="shared" ca="1" si="32"/>
        <v>#NAME?</v>
      </c>
      <c r="G108" s="183" t="e">
        <f t="shared" ca="1" si="32"/>
        <v>#NAME?</v>
      </c>
      <c r="H108" s="183" t="e">
        <f t="shared" ca="1" si="32"/>
        <v>#NAME?</v>
      </c>
      <c r="I108" s="183" t="e">
        <f t="shared" ca="1" si="32"/>
        <v>#NAME?</v>
      </c>
      <c r="J108" s="183" t="e">
        <f t="shared" ca="1" si="32"/>
        <v>#NAME?</v>
      </c>
      <c r="K108" s="183" t="e">
        <f t="shared" ca="1" si="32"/>
        <v>#NAME?</v>
      </c>
      <c r="L108" s="183" t="e">
        <f t="shared" ca="1" si="32"/>
        <v>#NAME?</v>
      </c>
      <c r="M108" s="183" t="e">
        <f t="shared" ca="1" si="32"/>
        <v>#NAME?</v>
      </c>
      <c r="N108" s="183" t="e">
        <f t="shared" ca="1" si="32"/>
        <v>#NAME?</v>
      </c>
      <c r="O108" s="183" t="e">
        <f t="shared" ca="1" si="32"/>
        <v>#NAME?</v>
      </c>
      <c r="P108" s="183" t="e">
        <f t="shared" ca="1" si="32"/>
        <v>#NAME?</v>
      </c>
      <c r="Q108" s="183" t="e">
        <f t="shared" ca="1" si="32"/>
        <v>#NAME?</v>
      </c>
      <c r="R108" s="183" t="e">
        <f t="shared" ca="1" si="32"/>
        <v>#NAME?</v>
      </c>
      <c r="S108" s="183" t="e">
        <f t="shared" ca="1" si="32"/>
        <v>#NAME?</v>
      </c>
      <c r="T108" s="183" t="e">
        <f t="shared" ca="1" si="32"/>
        <v>#NAME?</v>
      </c>
      <c r="U108" s="183" t="e">
        <f t="shared" ca="1" si="32"/>
        <v>#NAME?</v>
      </c>
      <c r="V108" s="183" t="e">
        <f t="shared" ca="1" si="32"/>
        <v>#NAME?</v>
      </c>
      <c r="W108" s="183" t="e">
        <f t="shared" ca="1" si="32"/>
        <v>#NAME?</v>
      </c>
      <c r="X108" s="183" t="e">
        <f t="shared" ca="1" si="32"/>
        <v>#NAME?</v>
      </c>
      <c r="Y108" s="183" t="e">
        <f t="shared" ca="1" si="32"/>
        <v>#NAME?</v>
      </c>
      <c r="Z108" s="247" t="e">
        <f ca="1">Z105-Z107</f>
        <v>#NAME?</v>
      </c>
    </row>
    <row r="109" spans="1:29" x14ac:dyDescent="0.2">
      <c r="A109" s="178" t="str">
        <f>Economics!A35</f>
        <v>Newman 2</v>
      </c>
      <c r="B109" s="176">
        <f>B42</f>
        <v>36</v>
      </c>
      <c r="C109" s="176">
        <f t="shared" ref="C109:Y109" si="33">C42</f>
        <v>38</v>
      </c>
      <c r="D109" s="176">
        <f t="shared" si="33"/>
        <v>37</v>
      </c>
      <c r="E109" s="176">
        <f>E42</f>
        <v>49</v>
      </c>
      <c r="F109" s="176">
        <f t="shared" si="33"/>
        <v>49</v>
      </c>
      <c r="G109" s="176">
        <f t="shared" si="33"/>
        <v>49</v>
      </c>
      <c r="H109" s="176">
        <f t="shared" si="33"/>
        <v>37</v>
      </c>
      <c r="I109" s="176">
        <f>I42</f>
        <v>36</v>
      </c>
      <c r="J109" s="176">
        <f t="shared" si="33"/>
        <v>78</v>
      </c>
      <c r="K109" s="176">
        <f t="shared" si="33"/>
        <v>78</v>
      </c>
      <c r="L109" s="176">
        <f t="shared" si="33"/>
        <v>78</v>
      </c>
      <c r="M109" s="176">
        <f t="shared" si="33"/>
        <v>78</v>
      </c>
      <c r="N109" s="176">
        <f t="shared" si="33"/>
        <v>78</v>
      </c>
      <c r="O109" s="176">
        <f t="shared" si="33"/>
        <v>78</v>
      </c>
      <c r="P109" s="176">
        <f t="shared" si="33"/>
        <v>78</v>
      </c>
      <c r="Q109" s="176">
        <f t="shared" si="33"/>
        <v>77</v>
      </c>
      <c r="R109" s="176">
        <f t="shared" si="33"/>
        <v>77</v>
      </c>
      <c r="S109" s="176">
        <f t="shared" si="33"/>
        <v>78</v>
      </c>
      <c r="T109" s="176">
        <f t="shared" si="33"/>
        <v>59</v>
      </c>
      <c r="U109" s="176">
        <f t="shared" si="33"/>
        <v>47</v>
      </c>
      <c r="V109" s="176">
        <f t="shared" si="33"/>
        <v>47</v>
      </c>
      <c r="W109" s="176">
        <f t="shared" si="33"/>
        <v>47</v>
      </c>
      <c r="X109" s="176">
        <f t="shared" si="33"/>
        <v>47</v>
      </c>
      <c r="Y109" s="176">
        <f t="shared" si="33"/>
        <v>47</v>
      </c>
      <c r="Z109" s="207">
        <f>SUM(B109:Y109)</f>
        <v>1403</v>
      </c>
      <c r="AA109" s="302" t="s">
        <v>171</v>
      </c>
    </row>
    <row r="110" spans="1:29" x14ac:dyDescent="0.2">
      <c r="A110" s="180">
        <f>Economics!$I35</f>
        <v>1.96</v>
      </c>
      <c r="B110" s="184" t="e">
        <f t="shared" ref="B110:Y110" ca="1" si="34">IndGencost(B109,OFFSET(HeatRateStart,1,MATCH($A109,HeatRateNames,0)-1,250,1),$A110)</f>
        <v>#NAME?</v>
      </c>
      <c r="C110" s="184" t="e">
        <f t="shared" ca="1" si="34"/>
        <v>#NAME?</v>
      </c>
      <c r="D110" s="184" t="e">
        <f t="shared" ca="1" si="34"/>
        <v>#NAME?</v>
      </c>
      <c r="E110" s="184" t="e">
        <f ca="1">IndGencost(E109,OFFSET(HeatRateStart,1,MATCH($A109,HeatRateNames,0)-1,250,1),$A110)</f>
        <v>#NAME?</v>
      </c>
      <c r="F110" s="184" t="e">
        <f t="shared" ca="1" si="34"/>
        <v>#NAME?</v>
      </c>
      <c r="G110" s="184" t="e">
        <f t="shared" ca="1" si="34"/>
        <v>#NAME?</v>
      </c>
      <c r="H110" s="184" t="e">
        <f t="shared" ca="1" si="34"/>
        <v>#NAME?</v>
      </c>
      <c r="I110" s="184" t="e">
        <f t="shared" ca="1" si="34"/>
        <v>#NAME?</v>
      </c>
      <c r="J110" s="184" t="e">
        <f t="shared" ca="1" si="34"/>
        <v>#NAME?</v>
      </c>
      <c r="K110" s="184" t="e">
        <f t="shared" ca="1" si="34"/>
        <v>#NAME?</v>
      </c>
      <c r="L110" s="184" t="e">
        <f t="shared" ca="1" si="34"/>
        <v>#NAME?</v>
      </c>
      <c r="M110" s="184" t="e">
        <f t="shared" ca="1" si="34"/>
        <v>#NAME?</v>
      </c>
      <c r="N110" s="184" t="e">
        <f t="shared" ca="1" si="34"/>
        <v>#NAME?</v>
      </c>
      <c r="O110" s="184" t="e">
        <f t="shared" ca="1" si="34"/>
        <v>#NAME?</v>
      </c>
      <c r="P110" s="184" t="e">
        <f t="shared" ca="1" si="34"/>
        <v>#NAME?</v>
      </c>
      <c r="Q110" s="184" t="e">
        <f t="shared" ca="1" si="34"/>
        <v>#NAME?</v>
      </c>
      <c r="R110" s="184" t="e">
        <f t="shared" ca="1" si="34"/>
        <v>#NAME?</v>
      </c>
      <c r="S110" s="184" t="e">
        <f t="shared" ca="1" si="34"/>
        <v>#NAME?</v>
      </c>
      <c r="T110" s="184" t="e">
        <f t="shared" ca="1" si="34"/>
        <v>#NAME?</v>
      </c>
      <c r="U110" s="184" t="e">
        <f t="shared" ca="1" si="34"/>
        <v>#NAME?</v>
      </c>
      <c r="V110" s="184" t="e">
        <f t="shared" ca="1" si="34"/>
        <v>#NAME?</v>
      </c>
      <c r="W110" s="184" t="e">
        <f t="shared" ca="1" si="34"/>
        <v>#NAME?</v>
      </c>
      <c r="X110" s="184" t="e">
        <f t="shared" ca="1" si="34"/>
        <v>#NAME?</v>
      </c>
      <c r="Y110" s="184" t="e">
        <f t="shared" ca="1" si="34"/>
        <v>#NAME?</v>
      </c>
      <c r="Z110" s="246" t="e">
        <f t="array" aca="1" ref="Z110" ca="1">SUM(B109:Y109*B110:Y110)</f>
        <v>#NAME?</v>
      </c>
      <c r="AA110" s="302" t="s">
        <v>168</v>
      </c>
    </row>
    <row r="111" spans="1:29" x14ac:dyDescent="0.2">
      <c r="A111" s="179" t="s">
        <v>172</v>
      </c>
      <c r="B111" s="181">
        <v>31</v>
      </c>
      <c r="C111" s="181">
        <v>31</v>
      </c>
      <c r="D111" s="181">
        <v>31</v>
      </c>
      <c r="E111" s="181">
        <v>31</v>
      </c>
      <c r="F111" s="181">
        <v>31</v>
      </c>
      <c r="G111" s="181">
        <v>31</v>
      </c>
      <c r="H111" s="181">
        <v>31</v>
      </c>
      <c r="I111" s="181">
        <v>31</v>
      </c>
      <c r="J111" s="181">
        <v>31</v>
      </c>
      <c r="K111" s="181">
        <v>31</v>
      </c>
      <c r="L111" s="181">
        <v>31</v>
      </c>
      <c r="M111" s="181">
        <v>31</v>
      </c>
      <c r="N111" s="181">
        <v>31</v>
      </c>
      <c r="O111" s="181">
        <v>31</v>
      </c>
      <c r="P111" s="181">
        <v>31</v>
      </c>
      <c r="Q111" s="181">
        <v>31</v>
      </c>
      <c r="R111" s="181">
        <v>31</v>
      </c>
      <c r="S111" s="181">
        <v>31</v>
      </c>
      <c r="T111" s="181">
        <v>31</v>
      </c>
      <c r="U111" s="181">
        <v>31</v>
      </c>
      <c r="V111" s="181">
        <v>31</v>
      </c>
      <c r="W111" s="181">
        <v>31</v>
      </c>
      <c r="X111" s="181">
        <v>31</v>
      </c>
      <c r="Y111" s="181">
        <v>31</v>
      </c>
      <c r="Z111" s="208">
        <f>SUM(B111:Y111)</f>
        <v>744</v>
      </c>
      <c r="AA111" s="248"/>
    </row>
    <row r="112" spans="1:29" x14ac:dyDescent="0.2">
      <c r="A112" s="177"/>
      <c r="B112" s="185" t="e">
        <f t="shared" ref="B112:Y112" ca="1" si="35">IndGencost(B111,OFFSET(HeatRateStart,1,MATCH($A109,HeatRateNames,0)-1,250,1),$A110)</f>
        <v>#NAME?</v>
      </c>
      <c r="C112" s="185" t="e">
        <f t="shared" ca="1" si="35"/>
        <v>#NAME?</v>
      </c>
      <c r="D112" s="185" t="e">
        <f t="shared" ca="1" si="35"/>
        <v>#NAME?</v>
      </c>
      <c r="E112" s="185" t="e">
        <f ca="1">IndGencost(E111,OFFSET(HeatRateStart,1,MATCH($A109,HeatRateNames,0)-1,250,1),$A110)</f>
        <v>#NAME?</v>
      </c>
      <c r="F112" s="185" t="e">
        <f t="shared" ca="1" si="35"/>
        <v>#NAME?</v>
      </c>
      <c r="G112" s="185" t="e">
        <f t="shared" ca="1" si="35"/>
        <v>#NAME?</v>
      </c>
      <c r="H112" s="185" t="e">
        <f t="shared" ca="1" si="35"/>
        <v>#NAME?</v>
      </c>
      <c r="I112" s="185" t="e">
        <f t="shared" ca="1" si="35"/>
        <v>#NAME?</v>
      </c>
      <c r="J112" s="185" t="e">
        <f t="shared" ca="1" si="35"/>
        <v>#NAME?</v>
      </c>
      <c r="K112" s="185" t="e">
        <f t="shared" ca="1" si="35"/>
        <v>#NAME?</v>
      </c>
      <c r="L112" s="185" t="e">
        <f t="shared" ca="1" si="35"/>
        <v>#NAME?</v>
      </c>
      <c r="M112" s="185" t="e">
        <f t="shared" ca="1" si="35"/>
        <v>#NAME?</v>
      </c>
      <c r="N112" s="185" t="e">
        <f t="shared" ca="1" si="35"/>
        <v>#NAME?</v>
      </c>
      <c r="O112" s="185" t="e">
        <f t="shared" ca="1" si="35"/>
        <v>#NAME?</v>
      </c>
      <c r="P112" s="185" t="e">
        <f t="shared" ca="1" si="35"/>
        <v>#NAME?</v>
      </c>
      <c r="Q112" s="185" t="e">
        <f t="shared" ca="1" si="35"/>
        <v>#NAME?</v>
      </c>
      <c r="R112" s="185" t="e">
        <f t="shared" ca="1" si="35"/>
        <v>#NAME?</v>
      </c>
      <c r="S112" s="185" t="e">
        <f t="shared" ca="1" si="35"/>
        <v>#NAME?</v>
      </c>
      <c r="T112" s="185" t="e">
        <f t="shared" ca="1" si="35"/>
        <v>#NAME?</v>
      </c>
      <c r="U112" s="185" t="e">
        <f t="shared" ca="1" si="35"/>
        <v>#NAME?</v>
      </c>
      <c r="V112" s="185" t="e">
        <f t="shared" ca="1" si="35"/>
        <v>#NAME?</v>
      </c>
      <c r="W112" s="185" t="e">
        <f t="shared" ca="1" si="35"/>
        <v>#NAME?</v>
      </c>
      <c r="X112" s="185" t="e">
        <f t="shared" ca="1" si="35"/>
        <v>#NAME?</v>
      </c>
      <c r="Y112" s="185" t="e">
        <f t="shared" ca="1" si="35"/>
        <v>#NAME?</v>
      </c>
      <c r="Z112" s="245" t="e">
        <f t="array" aca="1" ref="Z112" ca="1">SUM(B111:Y111*B112:Y112)</f>
        <v>#NAME?</v>
      </c>
      <c r="AA112" s="155"/>
      <c r="AC112" s="169"/>
    </row>
    <row r="113" spans="1:29" ht="13.5" thickBot="1" x14ac:dyDescent="0.25">
      <c r="A113" s="182" t="s">
        <v>166</v>
      </c>
      <c r="B113" s="183" t="e">
        <f t="shared" ref="B113:Y113" ca="1" si="36">B112-B110</f>
        <v>#NAME?</v>
      </c>
      <c r="C113" s="183" t="e">
        <f t="shared" ca="1" si="36"/>
        <v>#NAME?</v>
      </c>
      <c r="D113" s="183" t="e">
        <f t="shared" ca="1" si="36"/>
        <v>#NAME?</v>
      </c>
      <c r="E113" s="183" t="e">
        <f t="shared" ca="1" si="36"/>
        <v>#NAME?</v>
      </c>
      <c r="F113" s="183" t="e">
        <f t="shared" ca="1" si="36"/>
        <v>#NAME?</v>
      </c>
      <c r="G113" s="183" t="e">
        <f t="shared" ca="1" si="36"/>
        <v>#NAME?</v>
      </c>
      <c r="H113" s="183" t="e">
        <f t="shared" ca="1" si="36"/>
        <v>#NAME?</v>
      </c>
      <c r="I113" s="183" t="e">
        <f t="shared" ca="1" si="36"/>
        <v>#NAME?</v>
      </c>
      <c r="J113" s="183" t="e">
        <f t="shared" ca="1" si="36"/>
        <v>#NAME?</v>
      </c>
      <c r="K113" s="183" t="e">
        <f t="shared" ca="1" si="36"/>
        <v>#NAME?</v>
      </c>
      <c r="L113" s="183" t="e">
        <f t="shared" ca="1" si="36"/>
        <v>#NAME?</v>
      </c>
      <c r="M113" s="183" t="e">
        <f t="shared" ca="1" si="36"/>
        <v>#NAME?</v>
      </c>
      <c r="N113" s="183" t="e">
        <f t="shared" ca="1" si="36"/>
        <v>#NAME?</v>
      </c>
      <c r="O113" s="183" t="e">
        <f t="shared" ca="1" si="36"/>
        <v>#NAME?</v>
      </c>
      <c r="P113" s="183" t="e">
        <f t="shared" ca="1" si="36"/>
        <v>#NAME?</v>
      </c>
      <c r="Q113" s="183" t="e">
        <f t="shared" ca="1" si="36"/>
        <v>#NAME?</v>
      </c>
      <c r="R113" s="183" t="e">
        <f t="shared" ca="1" si="36"/>
        <v>#NAME?</v>
      </c>
      <c r="S113" s="183" t="e">
        <f t="shared" ca="1" si="36"/>
        <v>#NAME?</v>
      </c>
      <c r="T113" s="183" t="e">
        <f t="shared" ca="1" si="36"/>
        <v>#NAME?</v>
      </c>
      <c r="U113" s="183" t="e">
        <f t="shared" ca="1" si="36"/>
        <v>#NAME?</v>
      </c>
      <c r="V113" s="183" t="e">
        <f t="shared" ca="1" si="36"/>
        <v>#NAME?</v>
      </c>
      <c r="W113" s="183" t="e">
        <f t="shared" ca="1" si="36"/>
        <v>#NAME?</v>
      </c>
      <c r="X113" s="183" t="e">
        <f t="shared" ca="1" si="36"/>
        <v>#NAME?</v>
      </c>
      <c r="Y113" s="183" t="e">
        <f t="shared" ca="1" si="36"/>
        <v>#NAME?</v>
      </c>
      <c r="Z113" s="247" t="e">
        <f ca="1">Z110-Z112</f>
        <v>#NAME?</v>
      </c>
      <c r="AC113" s="169"/>
    </row>
    <row r="114" spans="1:29" x14ac:dyDescent="0.2">
      <c r="A114" s="178" t="str">
        <f>Economics!A36</f>
        <v>Newman 3</v>
      </c>
      <c r="B114" s="176">
        <f t="shared" ref="B114:Y114" si="37">B43</f>
        <v>83</v>
      </c>
      <c r="C114" s="176">
        <f t="shared" si="37"/>
        <v>35</v>
      </c>
      <c r="D114" s="176">
        <f t="shared" si="37"/>
        <v>38</v>
      </c>
      <c r="E114" s="176">
        <f>E43</f>
        <v>69</v>
      </c>
      <c r="F114" s="176">
        <f t="shared" si="37"/>
        <v>70</v>
      </c>
      <c r="G114" s="176">
        <f t="shared" si="37"/>
        <v>100</v>
      </c>
      <c r="H114" s="176">
        <f t="shared" si="37"/>
        <v>51</v>
      </c>
      <c r="I114" s="176">
        <f t="shared" si="37"/>
        <v>100</v>
      </c>
      <c r="J114" s="176">
        <f t="shared" si="37"/>
        <v>100</v>
      </c>
      <c r="K114" s="176">
        <f t="shared" si="37"/>
        <v>83</v>
      </c>
      <c r="L114" s="176">
        <f t="shared" si="37"/>
        <v>81</v>
      </c>
      <c r="M114" s="176">
        <f t="shared" si="37"/>
        <v>88</v>
      </c>
      <c r="N114" s="176">
        <f t="shared" si="37"/>
        <v>95</v>
      </c>
      <c r="O114" s="176">
        <f t="shared" si="37"/>
        <v>95</v>
      </c>
      <c r="P114" s="176">
        <f t="shared" si="37"/>
        <v>95</v>
      </c>
      <c r="Q114" s="176">
        <f t="shared" si="37"/>
        <v>89</v>
      </c>
      <c r="R114" s="176">
        <f t="shared" si="37"/>
        <v>85</v>
      </c>
      <c r="S114" s="176">
        <f t="shared" si="37"/>
        <v>92</v>
      </c>
      <c r="T114" s="176">
        <f t="shared" si="37"/>
        <v>35</v>
      </c>
      <c r="U114" s="176">
        <f t="shared" si="37"/>
        <v>51</v>
      </c>
      <c r="V114" s="176">
        <f t="shared" si="37"/>
        <v>53</v>
      </c>
      <c r="W114" s="176">
        <f t="shared" si="37"/>
        <v>44</v>
      </c>
      <c r="X114" s="176">
        <f t="shared" si="37"/>
        <v>35</v>
      </c>
      <c r="Y114" s="176">
        <f t="shared" si="37"/>
        <v>36</v>
      </c>
      <c r="Z114" s="207">
        <f>SUM(B114:Y114)</f>
        <v>1703</v>
      </c>
      <c r="AA114" s="302" t="s">
        <v>173</v>
      </c>
    </row>
    <row r="115" spans="1:29" x14ac:dyDescent="0.2">
      <c r="A115" s="180">
        <f>Economics!$I36</f>
        <v>1.96</v>
      </c>
      <c r="B115" s="184" t="e">
        <f t="shared" ref="B115:Y115" ca="1" si="38">IndGencost(B114,OFFSET(HeatRateStart,1,MATCH($A114,HeatRateNames,0)-1,250,1),$A115)</f>
        <v>#NAME?</v>
      </c>
      <c r="C115" s="184" t="e">
        <f t="shared" ca="1" si="38"/>
        <v>#NAME?</v>
      </c>
      <c r="D115" s="184" t="e">
        <f t="shared" ca="1" si="38"/>
        <v>#NAME?</v>
      </c>
      <c r="E115" s="184" t="e">
        <f ca="1">IndGencost(E114,OFFSET(HeatRateStart,1,MATCH($A114,HeatRateNames,0)-1,250,1),$A115)</f>
        <v>#NAME?</v>
      </c>
      <c r="F115" s="184" t="e">
        <f t="shared" ca="1" si="38"/>
        <v>#NAME?</v>
      </c>
      <c r="G115" s="184" t="e">
        <f t="shared" ca="1" si="38"/>
        <v>#NAME?</v>
      </c>
      <c r="H115" s="184" t="e">
        <f t="shared" ca="1" si="38"/>
        <v>#NAME?</v>
      </c>
      <c r="I115" s="184" t="e">
        <f t="shared" ca="1" si="38"/>
        <v>#NAME?</v>
      </c>
      <c r="J115" s="184" t="e">
        <f t="shared" ca="1" si="38"/>
        <v>#NAME?</v>
      </c>
      <c r="K115" s="184" t="e">
        <f t="shared" ca="1" si="38"/>
        <v>#NAME?</v>
      </c>
      <c r="L115" s="184" t="e">
        <f t="shared" ca="1" si="38"/>
        <v>#NAME?</v>
      </c>
      <c r="M115" s="184" t="e">
        <f t="shared" ca="1" si="38"/>
        <v>#NAME?</v>
      </c>
      <c r="N115" s="184" t="e">
        <f t="shared" ca="1" si="38"/>
        <v>#NAME?</v>
      </c>
      <c r="O115" s="184" t="e">
        <f t="shared" ca="1" si="38"/>
        <v>#NAME?</v>
      </c>
      <c r="P115" s="184" t="e">
        <f t="shared" ca="1" si="38"/>
        <v>#NAME?</v>
      </c>
      <c r="Q115" s="184" t="e">
        <f t="shared" ca="1" si="38"/>
        <v>#NAME?</v>
      </c>
      <c r="R115" s="184" t="e">
        <f t="shared" ca="1" si="38"/>
        <v>#NAME?</v>
      </c>
      <c r="S115" s="184" t="e">
        <f t="shared" ca="1" si="38"/>
        <v>#NAME?</v>
      </c>
      <c r="T115" s="184" t="e">
        <f t="shared" ca="1" si="38"/>
        <v>#NAME?</v>
      </c>
      <c r="U115" s="184" t="e">
        <f t="shared" ca="1" si="38"/>
        <v>#NAME?</v>
      </c>
      <c r="V115" s="184" t="e">
        <f t="shared" ca="1" si="38"/>
        <v>#NAME?</v>
      </c>
      <c r="W115" s="184" t="e">
        <f t="shared" ca="1" si="38"/>
        <v>#NAME?</v>
      </c>
      <c r="X115" s="184" t="e">
        <f t="shared" ca="1" si="38"/>
        <v>#NAME?</v>
      </c>
      <c r="Y115" s="184" t="e">
        <f t="shared" ca="1" si="38"/>
        <v>#NAME?</v>
      </c>
      <c r="Z115" s="246" t="e">
        <f t="array" aca="1" ref="Z115" ca="1">SUM(B114:Y114*B115:Y115)</f>
        <v>#NAME?</v>
      </c>
      <c r="AA115" s="302" t="s">
        <v>168</v>
      </c>
    </row>
    <row r="116" spans="1:29" x14ac:dyDescent="0.2">
      <c r="A116" s="179" t="s">
        <v>174</v>
      </c>
      <c r="B116" s="181"/>
      <c r="C116" s="181"/>
      <c r="D116" s="181"/>
      <c r="E116" s="181"/>
      <c r="F116" s="181"/>
      <c r="G116" s="181"/>
      <c r="H116" s="181"/>
      <c r="I116" s="181"/>
      <c r="J116" s="181"/>
      <c r="K116" s="181"/>
      <c r="L116" s="181"/>
      <c r="M116" s="181"/>
      <c r="N116" s="181"/>
      <c r="O116" s="181"/>
      <c r="P116" s="181"/>
      <c r="Q116" s="181"/>
      <c r="R116" s="181"/>
      <c r="S116" s="181"/>
      <c r="T116" s="181"/>
      <c r="U116" s="181"/>
      <c r="V116" s="181"/>
      <c r="W116" s="181"/>
      <c r="X116" s="181"/>
      <c r="Y116" s="181"/>
      <c r="Z116" s="208">
        <f>SUM(B116:Y116)</f>
        <v>0</v>
      </c>
      <c r="AA116" s="248"/>
    </row>
    <row r="117" spans="1:29" x14ac:dyDescent="0.2">
      <c r="A117" s="177"/>
      <c r="B117" s="185" t="e">
        <f t="shared" ref="B117:Y117" ca="1" si="39">IndGencost(B116,OFFSET(HeatRateStart,1,MATCH($A114,HeatRateNames,0)-1,250,1),$A115)</f>
        <v>#NAME?</v>
      </c>
      <c r="C117" s="185" t="e">
        <f t="shared" ca="1" si="39"/>
        <v>#NAME?</v>
      </c>
      <c r="D117" s="185" t="e">
        <f t="shared" ca="1" si="39"/>
        <v>#NAME?</v>
      </c>
      <c r="E117" s="185" t="e">
        <f ca="1">IndGencost(E116,OFFSET(HeatRateStart,1,MATCH($A114,HeatRateNames,0)-1,250,1),$A115)</f>
        <v>#NAME?</v>
      </c>
      <c r="F117" s="185" t="e">
        <f t="shared" ca="1" si="39"/>
        <v>#NAME?</v>
      </c>
      <c r="G117" s="185" t="e">
        <f t="shared" ca="1" si="39"/>
        <v>#NAME?</v>
      </c>
      <c r="H117" s="185" t="e">
        <f t="shared" ca="1" si="39"/>
        <v>#NAME?</v>
      </c>
      <c r="I117" s="185" t="e">
        <f t="shared" ca="1" si="39"/>
        <v>#NAME?</v>
      </c>
      <c r="J117" s="185" t="e">
        <f t="shared" ca="1" si="39"/>
        <v>#NAME?</v>
      </c>
      <c r="K117" s="185" t="e">
        <f t="shared" ca="1" si="39"/>
        <v>#NAME?</v>
      </c>
      <c r="L117" s="185" t="e">
        <f t="shared" ca="1" si="39"/>
        <v>#NAME?</v>
      </c>
      <c r="M117" s="185" t="e">
        <f t="shared" ca="1" si="39"/>
        <v>#NAME?</v>
      </c>
      <c r="N117" s="185" t="e">
        <f t="shared" ca="1" si="39"/>
        <v>#NAME?</v>
      </c>
      <c r="O117" s="185" t="e">
        <f t="shared" ca="1" si="39"/>
        <v>#NAME?</v>
      </c>
      <c r="P117" s="185" t="e">
        <f t="shared" ca="1" si="39"/>
        <v>#NAME?</v>
      </c>
      <c r="Q117" s="185" t="e">
        <f t="shared" ca="1" si="39"/>
        <v>#NAME?</v>
      </c>
      <c r="R117" s="185" t="e">
        <f t="shared" ca="1" si="39"/>
        <v>#NAME?</v>
      </c>
      <c r="S117" s="185" t="e">
        <f t="shared" ca="1" si="39"/>
        <v>#NAME?</v>
      </c>
      <c r="T117" s="185" t="e">
        <f t="shared" ca="1" si="39"/>
        <v>#NAME?</v>
      </c>
      <c r="U117" s="185" t="e">
        <f t="shared" ca="1" si="39"/>
        <v>#NAME?</v>
      </c>
      <c r="V117" s="185" t="e">
        <f t="shared" ca="1" si="39"/>
        <v>#NAME?</v>
      </c>
      <c r="W117" s="185" t="e">
        <f t="shared" ca="1" si="39"/>
        <v>#NAME?</v>
      </c>
      <c r="X117" s="185" t="e">
        <f t="shared" ca="1" si="39"/>
        <v>#NAME?</v>
      </c>
      <c r="Y117" s="185" t="e">
        <f t="shared" ca="1" si="39"/>
        <v>#NAME?</v>
      </c>
      <c r="Z117" s="245" t="e">
        <f t="array" aca="1" ref="Z117" ca="1">SUM(B116:Y116*B117:Y117)</f>
        <v>#NAME?</v>
      </c>
      <c r="AA117" s="155"/>
    </row>
    <row r="118" spans="1:29" ht="13.5" thickBot="1" x14ac:dyDescent="0.25">
      <c r="A118" s="182" t="s">
        <v>166</v>
      </c>
      <c r="B118" s="183" t="e">
        <f t="shared" ref="B118:Y118" ca="1" si="40">B117-B115</f>
        <v>#NAME?</v>
      </c>
      <c r="C118" s="183" t="e">
        <f t="shared" ca="1" si="40"/>
        <v>#NAME?</v>
      </c>
      <c r="D118" s="183" t="e">
        <f t="shared" ca="1" si="40"/>
        <v>#NAME?</v>
      </c>
      <c r="E118" s="183" t="e">
        <f t="shared" ca="1" si="40"/>
        <v>#NAME?</v>
      </c>
      <c r="F118" s="183" t="e">
        <f t="shared" ca="1" si="40"/>
        <v>#NAME?</v>
      </c>
      <c r="G118" s="183" t="e">
        <f t="shared" ca="1" si="40"/>
        <v>#NAME?</v>
      </c>
      <c r="H118" s="183" t="e">
        <f t="shared" ca="1" si="40"/>
        <v>#NAME?</v>
      </c>
      <c r="I118" s="183" t="e">
        <f t="shared" ca="1" si="40"/>
        <v>#NAME?</v>
      </c>
      <c r="J118" s="183" t="e">
        <f t="shared" ca="1" si="40"/>
        <v>#NAME?</v>
      </c>
      <c r="K118" s="183" t="e">
        <f t="shared" ca="1" si="40"/>
        <v>#NAME?</v>
      </c>
      <c r="L118" s="183" t="e">
        <f t="shared" ca="1" si="40"/>
        <v>#NAME?</v>
      </c>
      <c r="M118" s="183" t="e">
        <f t="shared" ca="1" si="40"/>
        <v>#NAME?</v>
      </c>
      <c r="N118" s="183" t="e">
        <f t="shared" ca="1" si="40"/>
        <v>#NAME?</v>
      </c>
      <c r="O118" s="183" t="e">
        <f t="shared" ca="1" si="40"/>
        <v>#NAME?</v>
      </c>
      <c r="P118" s="183" t="e">
        <f t="shared" ca="1" si="40"/>
        <v>#NAME?</v>
      </c>
      <c r="Q118" s="183" t="e">
        <f t="shared" ca="1" si="40"/>
        <v>#NAME?</v>
      </c>
      <c r="R118" s="183" t="e">
        <f t="shared" ca="1" si="40"/>
        <v>#NAME?</v>
      </c>
      <c r="S118" s="183" t="e">
        <f t="shared" ca="1" si="40"/>
        <v>#NAME?</v>
      </c>
      <c r="T118" s="183" t="e">
        <f t="shared" ca="1" si="40"/>
        <v>#NAME?</v>
      </c>
      <c r="U118" s="183" t="e">
        <f t="shared" ca="1" si="40"/>
        <v>#NAME?</v>
      </c>
      <c r="V118" s="183" t="e">
        <f t="shared" ca="1" si="40"/>
        <v>#NAME?</v>
      </c>
      <c r="W118" s="183" t="e">
        <f t="shared" ca="1" si="40"/>
        <v>#NAME?</v>
      </c>
      <c r="X118" s="183" t="e">
        <f t="shared" ca="1" si="40"/>
        <v>#NAME?</v>
      </c>
      <c r="Y118" s="183" t="e">
        <f t="shared" ca="1" si="40"/>
        <v>#NAME?</v>
      </c>
      <c r="Z118" s="247" t="e">
        <f ca="1">Z115-Z117</f>
        <v>#NAME?</v>
      </c>
    </row>
    <row r="119" spans="1:29" x14ac:dyDescent="0.2">
      <c r="A119" s="178" t="str">
        <f>Economics!A37</f>
        <v>GT 1</v>
      </c>
      <c r="B119" s="176">
        <f t="shared" ref="B119:Y119" si="41">B44</f>
        <v>11</v>
      </c>
      <c r="C119" s="176">
        <f t="shared" si="41"/>
        <v>10</v>
      </c>
      <c r="D119" s="176">
        <f t="shared" si="41"/>
        <v>11</v>
      </c>
      <c r="E119" s="176">
        <f>E44</f>
        <v>10</v>
      </c>
      <c r="F119" s="176">
        <f t="shared" si="41"/>
        <v>11</v>
      </c>
      <c r="G119" s="176">
        <f t="shared" si="41"/>
        <v>10</v>
      </c>
      <c r="H119" s="176">
        <f t="shared" si="41"/>
        <v>11</v>
      </c>
      <c r="I119" s="176">
        <f t="shared" si="41"/>
        <v>25</v>
      </c>
      <c r="J119" s="176">
        <f t="shared" si="41"/>
        <v>0</v>
      </c>
      <c r="K119" s="176">
        <f t="shared" si="41"/>
        <v>0</v>
      </c>
      <c r="L119" s="176">
        <f t="shared" si="41"/>
        <v>0</v>
      </c>
      <c r="M119" s="176">
        <f t="shared" si="41"/>
        <v>0</v>
      </c>
      <c r="N119" s="176">
        <f t="shared" si="41"/>
        <v>0</v>
      </c>
      <c r="O119" s="176">
        <f t="shared" si="41"/>
        <v>0</v>
      </c>
      <c r="P119" s="176">
        <f t="shared" si="41"/>
        <v>0</v>
      </c>
      <c r="Q119" s="176">
        <f t="shared" si="41"/>
        <v>0</v>
      </c>
      <c r="R119" s="176">
        <f t="shared" si="41"/>
        <v>0</v>
      </c>
      <c r="S119" s="176">
        <f t="shared" si="41"/>
        <v>0</v>
      </c>
      <c r="T119" s="176">
        <f t="shared" si="41"/>
        <v>0</v>
      </c>
      <c r="U119" s="176">
        <f t="shared" si="41"/>
        <v>0</v>
      </c>
      <c r="V119" s="176">
        <f t="shared" si="41"/>
        <v>0</v>
      </c>
      <c r="W119" s="176">
        <f t="shared" si="41"/>
        <v>0</v>
      </c>
      <c r="X119" s="176">
        <f t="shared" si="41"/>
        <v>0</v>
      </c>
      <c r="Y119" s="176">
        <f t="shared" si="41"/>
        <v>0</v>
      </c>
      <c r="Z119" s="207">
        <f>SUM(B119:Y119)</f>
        <v>99</v>
      </c>
      <c r="AA119" s="302" t="s">
        <v>175</v>
      </c>
    </row>
    <row r="120" spans="1:29" x14ac:dyDescent="0.2">
      <c r="A120" s="180">
        <f>Economics!$I37</f>
        <v>1.96</v>
      </c>
      <c r="B120" s="184" t="e">
        <f t="shared" ref="B120:Y120" ca="1" si="42">IndGencost(B119,OFFSET(HeatRateStart,1,MATCH($A119,HeatRateNames,0)-1,250,1),$A120)</f>
        <v>#NAME?</v>
      </c>
      <c r="C120" s="184" t="e">
        <f t="shared" ca="1" si="42"/>
        <v>#NAME?</v>
      </c>
      <c r="D120" s="184" t="e">
        <f t="shared" ca="1" si="42"/>
        <v>#NAME?</v>
      </c>
      <c r="E120" s="184" t="e">
        <f ca="1">IndGencost(E119,OFFSET(HeatRateStart,1,MATCH($A119,HeatRateNames,0)-1,250,1),$A120)</f>
        <v>#NAME?</v>
      </c>
      <c r="F120" s="184" t="e">
        <f t="shared" ca="1" si="42"/>
        <v>#NAME?</v>
      </c>
      <c r="G120" s="184" t="e">
        <f t="shared" ca="1" si="42"/>
        <v>#NAME?</v>
      </c>
      <c r="H120" s="184" t="e">
        <f t="shared" ca="1" si="42"/>
        <v>#NAME?</v>
      </c>
      <c r="I120" s="184" t="e">
        <f t="shared" ca="1" si="42"/>
        <v>#NAME?</v>
      </c>
      <c r="J120" s="184" t="e">
        <f t="shared" ca="1" si="42"/>
        <v>#NAME?</v>
      </c>
      <c r="K120" s="184" t="e">
        <f t="shared" ca="1" si="42"/>
        <v>#NAME?</v>
      </c>
      <c r="L120" s="184" t="e">
        <f t="shared" ca="1" si="42"/>
        <v>#NAME?</v>
      </c>
      <c r="M120" s="184" t="e">
        <f t="shared" ca="1" si="42"/>
        <v>#NAME?</v>
      </c>
      <c r="N120" s="184" t="e">
        <f t="shared" ca="1" si="42"/>
        <v>#NAME?</v>
      </c>
      <c r="O120" s="184" t="e">
        <f t="shared" ca="1" si="42"/>
        <v>#NAME?</v>
      </c>
      <c r="P120" s="184" t="e">
        <f t="shared" ca="1" si="42"/>
        <v>#NAME?</v>
      </c>
      <c r="Q120" s="184" t="e">
        <f t="shared" ca="1" si="42"/>
        <v>#NAME?</v>
      </c>
      <c r="R120" s="184" t="e">
        <f t="shared" ca="1" si="42"/>
        <v>#NAME?</v>
      </c>
      <c r="S120" s="184" t="e">
        <f t="shared" ca="1" si="42"/>
        <v>#NAME?</v>
      </c>
      <c r="T120" s="184" t="e">
        <f t="shared" ca="1" si="42"/>
        <v>#NAME?</v>
      </c>
      <c r="U120" s="184" t="e">
        <f t="shared" ca="1" si="42"/>
        <v>#NAME?</v>
      </c>
      <c r="V120" s="184" t="e">
        <f t="shared" ca="1" si="42"/>
        <v>#NAME?</v>
      </c>
      <c r="W120" s="184" t="e">
        <f t="shared" ca="1" si="42"/>
        <v>#NAME?</v>
      </c>
      <c r="X120" s="184" t="e">
        <f t="shared" ca="1" si="42"/>
        <v>#NAME?</v>
      </c>
      <c r="Y120" s="184" t="e">
        <f t="shared" ca="1" si="42"/>
        <v>#NAME?</v>
      </c>
      <c r="Z120" s="246" t="e">
        <f t="array" aca="1" ref="Z120" ca="1">SUM(B119:Y119*B120:Y120)</f>
        <v>#NAME?</v>
      </c>
      <c r="AA120" s="302" t="s">
        <v>168</v>
      </c>
    </row>
    <row r="121" spans="1:29" x14ac:dyDescent="0.2">
      <c r="A121" s="179" t="s">
        <v>164</v>
      </c>
      <c r="B121" s="181">
        <f t="shared" ref="B121:Y121" si="43">B119</f>
        <v>11</v>
      </c>
      <c r="C121" s="181">
        <f t="shared" si="43"/>
        <v>10</v>
      </c>
      <c r="D121" s="181">
        <f t="shared" si="43"/>
        <v>11</v>
      </c>
      <c r="E121" s="181">
        <f t="shared" si="43"/>
        <v>10</v>
      </c>
      <c r="F121" s="181">
        <f t="shared" si="43"/>
        <v>11</v>
      </c>
      <c r="G121" s="181">
        <f t="shared" si="43"/>
        <v>10</v>
      </c>
      <c r="H121" s="181">
        <f t="shared" si="43"/>
        <v>11</v>
      </c>
      <c r="I121" s="181">
        <f t="shared" si="43"/>
        <v>25</v>
      </c>
      <c r="J121" s="181">
        <f t="shared" si="43"/>
        <v>0</v>
      </c>
      <c r="K121" s="181">
        <f t="shared" si="43"/>
        <v>0</v>
      </c>
      <c r="L121" s="181">
        <f t="shared" si="43"/>
        <v>0</v>
      </c>
      <c r="M121" s="181">
        <f t="shared" si="43"/>
        <v>0</v>
      </c>
      <c r="N121" s="181">
        <f t="shared" si="43"/>
        <v>0</v>
      </c>
      <c r="O121" s="181">
        <f t="shared" si="43"/>
        <v>0</v>
      </c>
      <c r="P121" s="181">
        <f t="shared" si="43"/>
        <v>0</v>
      </c>
      <c r="Q121" s="181">
        <f t="shared" si="43"/>
        <v>0</v>
      </c>
      <c r="R121" s="181">
        <f t="shared" si="43"/>
        <v>0</v>
      </c>
      <c r="S121" s="181">
        <f t="shared" si="43"/>
        <v>0</v>
      </c>
      <c r="T121" s="181">
        <f t="shared" si="43"/>
        <v>0</v>
      </c>
      <c r="U121" s="181">
        <f t="shared" si="43"/>
        <v>0</v>
      </c>
      <c r="V121" s="181">
        <f t="shared" si="43"/>
        <v>0</v>
      </c>
      <c r="W121" s="181">
        <f t="shared" si="43"/>
        <v>0</v>
      </c>
      <c r="X121" s="181">
        <f t="shared" si="43"/>
        <v>0</v>
      </c>
      <c r="Y121" s="181">
        <f t="shared" si="43"/>
        <v>0</v>
      </c>
      <c r="Z121" s="208">
        <f>SUM(B121:Y121)</f>
        <v>99</v>
      </c>
    </row>
    <row r="122" spans="1:29" x14ac:dyDescent="0.2">
      <c r="A122" s="177"/>
      <c r="B122" s="185" t="e">
        <f t="shared" ref="B122:Y122" ca="1" si="44">IndGencost(B121,OFFSET(HeatRateStart,1,MATCH($A119,HeatRateNames,0)-1,250,1),$A120)</f>
        <v>#NAME?</v>
      </c>
      <c r="C122" s="185" t="e">
        <f t="shared" ca="1" si="44"/>
        <v>#NAME?</v>
      </c>
      <c r="D122" s="185" t="e">
        <f t="shared" ca="1" si="44"/>
        <v>#NAME?</v>
      </c>
      <c r="E122" s="185" t="e">
        <f ca="1">IndGencost(E121,OFFSET(HeatRateStart,1,MATCH($A119,HeatRateNames,0)-1,250,1),$A120)</f>
        <v>#NAME?</v>
      </c>
      <c r="F122" s="185" t="e">
        <f t="shared" ca="1" si="44"/>
        <v>#NAME?</v>
      </c>
      <c r="G122" s="185" t="e">
        <f t="shared" ca="1" si="44"/>
        <v>#NAME?</v>
      </c>
      <c r="H122" s="185" t="e">
        <f t="shared" ca="1" si="44"/>
        <v>#NAME?</v>
      </c>
      <c r="I122" s="185" t="e">
        <f t="shared" ca="1" si="44"/>
        <v>#NAME?</v>
      </c>
      <c r="J122" s="185" t="e">
        <f t="shared" ca="1" si="44"/>
        <v>#NAME?</v>
      </c>
      <c r="K122" s="185" t="e">
        <f t="shared" ca="1" si="44"/>
        <v>#NAME?</v>
      </c>
      <c r="L122" s="185" t="e">
        <f t="shared" ca="1" si="44"/>
        <v>#NAME?</v>
      </c>
      <c r="M122" s="185" t="e">
        <f t="shared" ca="1" si="44"/>
        <v>#NAME?</v>
      </c>
      <c r="N122" s="185" t="e">
        <f t="shared" ca="1" si="44"/>
        <v>#NAME?</v>
      </c>
      <c r="O122" s="185" t="e">
        <f t="shared" ca="1" si="44"/>
        <v>#NAME?</v>
      </c>
      <c r="P122" s="185" t="e">
        <f t="shared" ca="1" si="44"/>
        <v>#NAME?</v>
      </c>
      <c r="Q122" s="185" t="e">
        <f t="shared" ca="1" si="44"/>
        <v>#NAME?</v>
      </c>
      <c r="R122" s="185" t="e">
        <f t="shared" ca="1" si="44"/>
        <v>#NAME?</v>
      </c>
      <c r="S122" s="185" t="e">
        <f t="shared" ca="1" si="44"/>
        <v>#NAME?</v>
      </c>
      <c r="T122" s="185" t="e">
        <f t="shared" ca="1" si="44"/>
        <v>#NAME?</v>
      </c>
      <c r="U122" s="185" t="e">
        <f t="shared" ca="1" si="44"/>
        <v>#NAME?</v>
      </c>
      <c r="V122" s="185" t="e">
        <f t="shared" ca="1" si="44"/>
        <v>#NAME?</v>
      </c>
      <c r="W122" s="185" t="e">
        <f t="shared" ca="1" si="44"/>
        <v>#NAME?</v>
      </c>
      <c r="X122" s="185" t="e">
        <f t="shared" ca="1" si="44"/>
        <v>#NAME?</v>
      </c>
      <c r="Y122" s="185" t="e">
        <f t="shared" ca="1" si="44"/>
        <v>#NAME?</v>
      </c>
      <c r="Z122" s="245" t="e">
        <f t="array" aca="1" ref="Z122" ca="1">SUM(B121:Y121*B122:Y122)</f>
        <v>#NAME?</v>
      </c>
    </row>
    <row r="123" spans="1:29" ht="13.5" thickBot="1" x14ac:dyDescent="0.25">
      <c r="A123" s="182" t="s">
        <v>166</v>
      </c>
      <c r="B123" s="183" t="e">
        <f t="shared" ref="B123:Y123" ca="1" si="45">B122-B120</f>
        <v>#NAME?</v>
      </c>
      <c r="C123" s="183" t="e">
        <f t="shared" ca="1" si="45"/>
        <v>#NAME?</v>
      </c>
      <c r="D123" s="183" t="e">
        <f t="shared" ca="1" si="45"/>
        <v>#NAME?</v>
      </c>
      <c r="E123" s="183" t="e">
        <f t="shared" ca="1" si="45"/>
        <v>#NAME?</v>
      </c>
      <c r="F123" s="183" t="e">
        <f t="shared" ca="1" si="45"/>
        <v>#NAME?</v>
      </c>
      <c r="G123" s="183" t="e">
        <f t="shared" ca="1" si="45"/>
        <v>#NAME?</v>
      </c>
      <c r="H123" s="183" t="e">
        <f t="shared" ca="1" si="45"/>
        <v>#NAME?</v>
      </c>
      <c r="I123" s="183" t="e">
        <f t="shared" ca="1" si="45"/>
        <v>#NAME?</v>
      </c>
      <c r="J123" s="183" t="e">
        <f t="shared" ca="1" si="45"/>
        <v>#NAME?</v>
      </c>
      <c r="K123" s="183" t="e">
        <f t="shared" ca="1" si="45"/>
        <v>#NAME?</v>
      </c>
      <c r="L123" s="183" t="e">
        <f t="shared" ca="1" si="45"/>
        <v>#NAME?</v>
      </c>
      <c r="M123" s="183" t="e">
        <f t="shared" ca="1" si="45"/>
        <v>#NAME?</v>
      </c>
      <c r="N123" s="183" t="e">
        <f t="shared" ca="1" si="45"/>
        <v>#NAME?</v>
      </c>
      <c r="O123" s="183" t="e">
        <f t="shared" ca="1" si="45"/>
        <v>#NAME?</v>
      </c>
      <c r="P123" s="183" t="e">
        <f t="shared" ca="1" si="45"/>
        <v>#NAME?</v>
      </c>
      <c r="Q123" s="183" t="e">
        <f t="shared" ca="1" si="45"/>
        <v>#NAME?</v>
      </c>
      <c r="R123" s="183" t="e">
        <f t="shared" ca="1" si="45"/>
        <v>#NAME?</v>
      </c>
      <c r="S123" s="183" t="e">
        <f t="shared" ca="1" si="45"/>
        <v>#NAME?</v>
      </c>
      <c r="T123" s="183" t="e">
        <f t="shared" ca="1" si="45"/>
        <v>#NAME?</v>
      </c>
      <c r="U123" s="183" t="e">
        <f t="shared" ca="1" si="45"/>
        <v>#NAME?</v>
      </c>
      <c r="V123" s="183" t="e">
        <f t="shared" ca="1" si="45"/>
        <v>#NAME?</v>
      </c>
      <c r="W123" s="183" t="e">
        <f t="shared" ca="1" si="45"/>
        <v>#NAME?</v>
      </c>
      <c r="X123" s="183" t="e">
        <f t="shared" ca="1" si="45"/>
        <v>#NAME?</v>
      </c>
      <c r="Y123" s="183" t="e">
        <f t="shared" ca="1" si="45"/>
        <v>#NAME?</v>
      </c>
      <c r="Z123" s="247" t="e">
        <f ca="1">Z120-Z122</f>
        <v>#NAME?</v>
      </c>
    </row>
    <row r="124" spans="1:29" x14ac:dyDescent="0.2">
      <c r="A124" s="178" t="str">
        <f>Economics!A38</f>
        <v>GT 2</v>
      </c>
      <c r="B124" s="176">
        <f t="shared" ref="B124:Y124" si="46">B45</f>
        <v>12</v>
      </c>
      <c r="C124" s="176">
        <f t="shared" si="46"/>
        <v>12</v>
      </c>
      <c r="D124" s="176">
        <f t="shared" si="46"/>
        <v>12</v>
      </c>
      <c r="E124" s="176">
        <f>E45</f>
        <v>12</v>
      </c>
      <c r="F124" s="176">
        <f t="shared" si="46"/>
        <v>12</v>
      </c>
      <c r="G124" s="176">
        <f t="shared" si="46"/>
        <v>12</v>
      </c>
      <c r="H124" s="176">
        <f t="shared" si="46"/>
        <v>12</v>
      </c>
      <c r="I124" s="176">
        <f t="shared" si="46"/>
        <v>17</v>
      </c>
      <c r="J124" s="176">
        <f t="shared" si="46"/>
        <v>0</v>
      </c>
      <c r="K124" s="176">
        <f t="shared" si="46"/>
        <v>0</v>
      </c>
      <c r="L124" s="176">
        <f t="shared" si="46"/>
        <v>0</v>
      </c>
      <c r="M124" s="176">
        <f t="shared" si="46"/>
        <v>0</v>
      </c>
      <c r="N124" s="176">
        <f t="shared" si="46"/>
        <v>0</v>
      </c>
      <c r="O124" s="176">
        <f t="shared" si="46"/>
        <v>0</v>
      </c>
      <c r="P124" s="176">
        <f t="shared" si="46"/>
        <v>0</v>
      </c>
      <c r="Q124" s="176">
        <f t="shared" si="46"/>
        <v>0</v>
      </c>
      <c r="R124" s="176">
        <f t="shared" si="46"/>
        <v>0</v>
      </c>
      <c r="S124" s="176">
        <f t="shared" si="46"/>
        <v>0</v>
      </c>
      <c r="T124" s="176">
        <f t="shared" si="46"/>
        <v>0</v>
      </c>
      <c r="U124" s="176">
        <f t="shared" si="46"/>
        <v>0</v>
      </c>
      <c r="V124" s="176">
        <f t="shared" si="46"/>
        <v>0</v>
      </c>
      <c r="W124" s="176">
        <f t="shared" si="46"/>
        <v>0</v>
      </c>
      <c r="X124" s="176">
        <f t="shared" si="46"/>
        <v>0</v>
      </c>
      <c r="Y124" s="176">
        <f t="shared" si="46"/>
        <v>0</v>
      </c>
      <c r="Z124" s="207">
        <f>SUM(B124:Y124)</f>
        <v>101</v>
      </c>
      <c r="AA124" s="302" t="s">
        <v>175</v>
      </c>
    </row>
    <row r="125" spans="1:29" x14ac:dyDescent="0.2">
      <c r="A125" s="180">
        <f>Economics!$I38</f>
        <v>1.96</v>
      </c>
      <c r="B125" s="184" t="e">
        <f t="shared" ref="B125:Y125" ca="1" si="47">IndGencost(B124,OFFSET(HeatRateStart,1,MATCH($A124,HeatRateNames,0)-1,250,1),$A125)</f>
        <v>#NAME?</v>
      </c>
      <c r="C125" s="184" t="e">
        <f t="shared" ca="1" si="47"/>
        <v>#NAME?</v>
      </c>
      <c r="D125" s="184" t="e">
        <f t="shared" ca="1" si="47"/>
        <v>#NAME?</v>
      </c>
      <c r="E125" s="184" t="e">
        <f ca="1">IndGencost(E124,OFFSET(HeatRateStart,1,MATCH($A124,HeatRateNames,0)-1,250,1),$A125)</f>
        <v>#NAME?</v>
      </c>
      <c r="F125" s="184" t="e">
        <f t="shared" ca="1" si="47"/>
        <v>#NAME?</v>
      </c>
      <c r="G125" s="184" t="e">
        <f t="shared" ca="1" si="47"/>
        <v>#NAME?</v>
      </c>
      <c r="H125" s="184" t="e">
        <f t="shared" ca="1" si="47"/>
        <v>#NAME?</v>
      </c>
      <c r="I125" s="184" t="e">
        <f t="shared" ca="1" si="47"/>
        <v>#NAME?</v>
      </c>
      <c r="J125" s="184" t="e">
        <f t="shared" ca="1" si="47"/>
        <v>#NAME?</v>
      </c>
      <c r="K125" s="184" t="e">
        <f t="shared" ca="1" si="47"/>
        <v>#NAME?</v>
      </c>
      <c r="L125" s="184" t="e">
        <f t="shared" ca="1" si="47"/>
        <v>#NAME?</v>
      </c>
      <c r="M125" s="184" t="e">
        <f t="shared" ca="1" si="47"/>
        <v>#NAME?</v>
      </c>
      <c r="N125" s="184" t="e">
        <f t="shared" ca="1" si="47"/>
        <v>#NAME?</v>
      </c>
      <c r="O125" s="184" t="e">
        <f t="shared" ca="1" si="47"/>
        <v>#NAME?</v>
      </c>
      <c r="P125" s="184" t="e">
        <f t="shared" ca="1" si="47"/>
        <v>#NAME?</v>
      </c>
      <c r="Q125" s="184" t="e">
        <f t="shared" ca="1" si="47"/>
        <v>#NAME?</v>
      </c>
      <c r="R125" s="184" t="e">
        <f t="shared" ca="1" si="47"/>
        <v>#NAME?</v>
      </c>
      <c r="S125" s="184" t="e">
        <f t="shared" ca="1" si="47"/>
        <v>#NAME?</v>
      </c>
      <c r="T125" s="184" t="e">
        <f t="shared" ca="1" si="47"/>
        <v>#NAME?</v>
      </c>
      <c r="U125" s="184" t="e">
        <f t="shared" ca="1" si="47"/>
        <v>#NAME?</v>
      </c>
      <c r="V125" s="184" t="e">
        <f t="shared" ca="1" si="47"/>
        <v>#NAME?</v>
      </c>
      <c r="W125" s="184" t="e">
        <f t="shared" ca="1" si="47"/>
        <v>#NAME?</v>
      </c>
      <c r="X125" s="184" t="e">
        <f t="shared" ca="1" si="47"/>
        <v>#NAME?</v>
      </c>
      <c r="Y125" s="184" t="e">
        <f t="shared" ca="1" si="47"/>
        <v>#NAME?</v>
      </c>
      <c r="Z125" s="246" t="e">
        <f t="array" aca="1" ref="Z125" ca="1">SUM(B124:Y124*B125:Y125)</f>
        <v>#NAME?</v>
      </c>
      <c r="AA125" s="302" t="s">
        <v>168</v>
      </c>
    </row>
    <row r="126" spans="1:29" x14ac:dyDescent="0.2">
      <c r="A126" s="179" t="s">
        <v>164</v>
      </c>
      <c r="B126" s="181">
        <f t="shared" ref="B126:Y126" si="48">B124</f>
        <v>12</v>
      </c>
      <c r="C126" s="181">
        <f t="shared" si="48"/>
        <v>12</v>
      </c>
      <c r="D126" s="181">
        <f t="shared" si="48"/>
        <v>12</v>
      </c>
      <c r="E126" s="181">
        <f t="shared" si="48"/>
        <v>12</v>
      </c>
      <c r="F126" s="181">
        <f t="shared" si="48"/>
        <v>12</v>
      </c>
      <c r="G126" s="181">
        <f t="shared" si="48"/>
        <v>12</v>
      </c>
      <c r="H126" s="181">
        <f t="shared" si="48"/>
        <v>12</v>
      </c>
      <c r="I126" s="181">
        <f t="shared" si="48"/>
        <v>17</v>
      </c>
      <c r="J126" s="181">
        <f t="shared" si="48"/>
        <v>0</v>
      </c>
      <c r="K126" s="181">
        <f t="shared" si="48"/>
        <v>0</v>
      </c>
      <c r="L126" s="181">
        <f t="shared" si="48"/>
        <v>0</v>
      </c>
      <c r="M126" s="181">
        <f t="shared" si="48"/>
        <v>0</v>
      </c>
      <c r="N126" s="181">
        <f t="shared" si="48"/>
        <v>0</v>
      </c>
      <c r="O126" s="181">
        <f t="shared" si="48"/>
        <v>0</v>
      </c>
      <c r="P126" s="181">
        <f t="shared" si="48"/>
        <v>0</v>
      </c>
      <c r="Q126" s="181">
        <f t="shared" si="48"/>
        <v>0</v>
      </c>
      <c r="R126" s="181">
        <f t="shared" si="48"/>
        <v>0</v>
      </c>
      <c r="S126" s="181">
        <f t="shared" si="48"/>
        <v>0</v>
      </c>
      <c r="T126" s="181">
        <f t="shared" si="48"/>
        <v>0</v>
      </c>
      <c r="U126" s="181">
        <f t="shared" si="48"/>
        <v>0</v>
      </c>
      <c r="V126" s="181">
        <f t="shared" si="48"/>
        <v>0</v>
      </c>
      <c r="W126" s="181">
        <f t="shared" si="48"/>
        <v>0</v>
      </c>
      <c r="X126" s="181">
        <f t="shared" si="48"/>
        <v>0</v>
      </c>
      <c r="Y126" s="181">
        <f t="shared" si="48"/>
        <v>0</v>
      </c>
      <c r="Z126" s="208">
        <f>SUM(B126:Y126)</f>
        <v>101</v>
      </c>
    </row>
    <row r="127" spans="1:29" x14ac:dyDescent="0.2">
      <c r="A127" s="177"/>
      <c r="B127" s="185" t="e">
        <f t="shared" ref="B127:Y127" ca="1" si="49">IndGencost(B126,OFFSET(HeatRateStart,1,MATCH($A124,HeatRateNames,0)-1,250,1),$A125)</f>
        <v>#NAME?</v>
      </c>
      <c r="C127" s="185" t="e">
        <f t="shared" ca="1" si="49"/>
        <v>#NAME?</v>
      </c>
      <c r="D127" s="185" t="e">
        <f t="shared" ca="1" si="49"/>
        <v>#NAME?</v>
      </c>
      <c r="E127" s="185" t="e">
        <f ca="1">IndGencost(E126,OFFSET(HeatRateStart,1,MATCH($A124,HeatRateNames,0)-1,250,1),$A125)</f>
        <v>#NAME?</v>
      </c>
      <c r="F127" s="185" t="e">
        <f t="shared" ca="1" si="49"/>
        <v>#NAME?</v>
      </c>
      <c r="G127" s="185" t="e">
        <f t="shared" ca="1" si="49"/>
        <v>#NAME?</v>
      </c>
      <c r="H127" s="185" t="e">
        <f t="shared" ca="1" si="49"/>
        <v>#NAME?</v>
      </c>
      <c r="I127" s="185" t="e">
        <f t="shared" ca="1" si="49"/>
        <v>#NAME?</v>
      </c>
      <c r="J127" s="185" t="e">
        <f t="shared" ca="1" si="49"/>
        <v>#NAME?</v>
      </c>
      <c r="K127" s="185" t="e">
        <f t="shared" ca="1" si="49"/>
        <v>#NAME?</v>
      </c>
      <c r="L127" s="185" t="e">
        <f t="shared" ca="1" si="49"/>
        <v>#NAME?</v>
      </c>
      <c r="M127" s="185" t="e">
        <f t="shared" ca="1" si="49"/>
        <v>#NAME?</v>
      </c>
      <c r="N127" s="185" t="e">
        <f t="shared" ca="1" si="49"/>
        <v>#NAME?</v>
      </c>
      <c r="O127" s="185" t="e">
        <f t="shared" ca="1" si="49"/>
        <v>#NAME?</v>
      </c>
      <c r="P127" s="185" t="e">
        <f t="shared" ca="1" si="49"/>
        <v>#NAME?</v>
      </c>
      <c r="Q127" s="185" t="e">
        <f t="shared" ca="1" si="49"/>
        <v>#NAME?</v>
      </c>
      <c r="R127" s="185" t="e">
        <f t="shared" ca="1" si="49"/>
        <v>#NAME?</v>
      </c>
      <c r="S127" s="185" t="e">
        <f t="shared" ca="1" si="49"/>
        <v>#NAME?</v>
      </c>
      <c r="T127" s="185" t="e">
        <f t="shared" ca="1" si="49"/>
        <v>#NAME?</v>
      </c>
      <c r="U127" s="185" t="e">
        <f t="shared" ca="1" si="49"/>
        <v>#NAME?</v>
      </c>
      <c r="V127" s="185" t="e">
        <f t="shared" ca="1" si="49"/>
        <v>#NAME?</v>
      </c>
      <c r="W127" s="185" t="e">
        <f t="shared" ca="1" si="49"/>
        <v>#NAME?</v>
      </c>
      <c r="X127" s="185" t="e">
        <f t="shared" ca="1" si="49"/>
        <v>#NAME?</v>
      </c>
      <c r="Y127" s="185" t="e">
        <f t="shared" ca="1" si="49"/>
        <v>#NAME?</v>
      </c>
      <c r="Z127" s="245" t="e">
        <f t="array" aca="1" ref="Z127" ca="1">SUM(B126:Y126*B127:Y127)</f>
        <v>#NAME?</v>
      </c>
    </row>
    <row r="128" spans="1:29" ht="13.5" thickBot="1" x14ac:dyDescent="0.25">
      <c r="A128" s="182" t="s">
        <v>166</v>
      </c>
      <c r="B128" s="183" t="e">
        <f t="shared" ref="B128:Y128" ca="1" si="50">B127-B125</f>
        <v>#NAME?</v>
      </c>
      <c r="C128" s="183" t="e">
        <f t="shared" ca="1" si="50"/>
        <v>#NAME?</v>
      </c>
      <c r="D128" s="183" t="e">
        <f t="shared" ca="1" si="50"/>
        <v>#NAME?</v>
      </c>
      <c r="E128" s="183" t="e">
        <f t="shared" ca="1" si="50"/>
        <v>#NAME?</v>
      </c>
      <c r="F128" s="183" t="e">
        <f t="shared" ca="1" si="50"/>
        <v>#NAME?</v>
      </c>
      <c r="G128" s="183" t="e">
        <f t="shared" ca="1" si="50"/>
        <v>#NAME?</v>
      </c>
      <c r="H128" s="183" t="e">
        <f t="shared" ca="1" si="50"/>
        <v>#NAME?</v>
      </c>
      <c r="I128" s="183" t="e">
        <f t="shared" ca="1" si="50"/>
        <v>#NAME?</v>
      </c>
      <c r="J128" s="183" t="e">
        <f t="shared" ca="1" si="50"/>
        <v>#NAME?</v>
      </c>
      <c r="K128" s="183" t="e">
        <f t="shared" ca="1" si="50"/>
        <v>#NAME?</v>
      </c>
      <c r="L128" s="183" t="e">
        <f t="shared" ca="1" si="50"/>
        <v>#NAME?</v>
      </c>
      <c r="M128" s="183" t="e">
        <f t="shared" ca="1" si="50"/>
        <v>#NAME?</v>
      </c>
      <c r="N128" s="183" t="e">
        <f t="shared" ca="1" si="50"/>
        <v>#NAME?</v>
      </c>
      <c r="O128" s="183" t="e">
        <f t="shared" ca="1" si="50"/>
        <v>#NAME?</v>
      </c>
      <c r="P128" s="183" t="e">
        <f t="shared" ca="1" si="50"/>
        <v>#NAME?</v>
      </c>
      <c r="Q128" s="183" t="e">
        <f t="shared" ca="1" si="50"/>
        <v>#NAME?</v>
      </c>
      <c r="R128" s="183" t="e">
        <f t="shared" ca="1" si="50"/>
        <v>#NAME?</v>
      </c>
      <c r="S128" s="183" t="e">
        <f t="shared" ca="1" si="50"/>
        <v>#NAME?</v>
      </c>
      <c r="T128" s="183" t="e">
        <f t="shared" ca="1" si="50"/>
        <v>#NAME?</v>
      </c>
      <c r="U128" s="183" t="e">
        <f t="shared" ca="1" si="50"/>
        <v>#NAME?</v>
      </c>
      <c r="V128" s="183" t="e">
        <f t="shared" ca="1" si="50"/>
        <v>#NAME?</v>
      </c>
      <c r="W128" s="183" t="e">
        <f t="shared" ca="1" si="50"/>
        <v>#NAME?</v>
      </c>
      <c r="X128" s="183" t="e">
        <f t="shared" ca="1" si="50"/>
        <v>#NAME?</v>
      </c>
      <c r="Y128" s="183" t="e">
        <f t="shared" ca="1" si="50"/>
        <v>#NAME?</v>
      </c>
      <c r="Z128" s="247" t="e">
        <f ca="1">Z125-Z127</f>
        <v>#NAME?</v>
      </c>
    </row>
    <row r="129" spans="1:27" x14ac:dyDescent="0.2">
      <c r="A129" s="178" t="str">
        <f>Economics!A39</f>
        <v>GT1+ST1</v>
      </c>
      <c r="B129" s="176">
        <f t="shared" ref="B129:Y129" si="51">B46</f>
        <v>0</v>
      </c>
      <c r="C129" s="176">
        <f t="shared" si="51"/>
        <v>0</v>
      </c>
      <c r="D129" s="176">
        <f t="shared" si="51"/>
        <v>0</v>
      </c>
      <c r="E129" s="176">
        <f>E46</f>
        <v>0</v>
      </c>
      <c r="F129" s="176">
        <f t="shared" si="51"/>
        <v>0</v>
      </c>
      <c r="G129" s="176">
        <f t="shared" si="51"/>
        <v>0</v>
      </c>
      <c r="H129" s="176">
        <f t="shared" si="51"/>
        <v>0</v>
      </c>
      <c r="I129" s="176">
        <f t="shared" si="51"/>
        <v>0</v>
      </c>
      <c r="J129" s="176">
        <f t="shared" si="51"/>
        <v>0</v>
      </c>
      <c r="K129" s="176">
        <f t="shared" si="51"/>
        <v>0</v>
      </c>
      <c r="L129" s="176">
        <f t="shared" si="51"/>
        <v>0</v>
      </c>
      <c r="M129" s="176">
        <f t="shared" si="51"/>
        <v>0</v>
      </c>
      <c r="N129" s="176">
        <f t="shared" si="51"/>
        <v>0</v>
      </c>
      <c r="O129" s="176">
        <f t="shared" si="51"/>
        <v>0</v>
      </c>
      <c r="P129" s="176">
        <f t="shared" si="51"/>
        <v>0</v>
      </c>
      <c r="Q129" s="176">
        <f t="shared" si="51"/>
        <v>0</v>
      </c>
      <c r="R129" s="176">
        <f t="shared" si="51"/>
        <v>0</v>
      </c>
      <c r="S129" s="176">
        <f t="shared" si="51"/>
        <v>0</v>
      </c>
      <c r="T129" s="176">
        <f t="shared" si="51"/>
        <v>0</v>
      </c>
      <c r="U129" s="176">
        <f t="shared" si="51"/>
        <v>0</v>
      </c>
      <c r="V129" s="176">
        <f t="shared" si="51"/>
        <v>0</v>
      </c>
      <c r="W129" s="176">
        <f t="shared" si="51"/>
        <v>0</v>
      </c>
      <c r="X129" s="176">
        <f t="shared" si="51"/>
        <v>0</v>
      </c>
      <c r="Y129" s="176">
        <f t="shared" si="51"/>
        <v>0</v>
      </c>
      <c r="Z129" s="207">
        <f>SUM(B129:Y129)</f>
        <v>0</v>
      </c>
      <c r="AA129" s="302" t="s">
        <v>175</v>
      </c>
    </row>
    <row r="130" spans="1:27" x14ac:dyDescent="0.2">
      <c r="A130" s="180">
        <f>Economics!$I39</f>
        <v>1.96</v>
      </c>
      <c r="B130" s="184" t="e">
        <f t="shared" ref="B130:Y130" ca="1" si="52">IndGencost(B129,OFFSET(HeatRateStart,1,MATCH($A129,HeatRateNames,0)-1,250,1),$A130)</f>
        <v>#NAME?</v>
      </c>
      <c r="C130" s="184" t="e">
        <f t="shared" ca="1" si="52"/>
        <v>#NAME?</v>
      </c>
      <c r="D130" s="184" t="e">
        <f t="shared" ca="1" si="52"/>
        <v>#NAME?</v>
      </c>
      <c r="E130" s="184" t="e">
        <f ca="1">IndGencost(E129,OFFSET(HeatRateStart,1,MATCH($A129,HeatRateNames,0)-1,250,1),$A130)</f>
        <v>#NAME?</v>
      </c>
      <c r="F130" s="184" t="e">
        <f t="shared" ca="1" si="52"/>
        <v>#NAME?</v>
      </c>
      <c r="G130" s="184" t="e">
        <f t="shared" ca="1" si="52"/>
        <v>#NAME?</v>
      </c>
      <c r="H130" s="184" t="e">
        <f t="shared" ca="1" si="52"/>
        <v>#NAME?</v>
      </c>
      <c r="I130" s="184" t="e">
        <f t="shared" ca="1" si="52"/>
        <v>#NAME?</v>
      </c>
      <c r="J130" s="184" t="e">
        <f t="shared" ca="1" si="52"/>
        <v>#NAME?</v>
      </c>
      <c r="K130" s="184" t="e">
        <f t="shared" ca="1" si="52"/>
        <v>#NAME?</v>
      </c>
      <c r="L130" s="184" t="e">
        <f t="shared" ca="1" si="52"/>
        <v>#NAME?</v>
      </c>
      <c r="M130" s="184" t="e">
        <f t="shared" ca="1" si="52"/>
        <v>#NAME?</v>
      </c>
      <c r="N130" s="184" t="e">
        <f t="shared" ca="1" si="52"/>
        <v>#NAME?</v>
      </c>
      <c r="O130" s="184" t="e">
        <f t="shared" ca="1" si="52"/>
        <v>#NAME?</v>
      </c>
      <c r="P130" s="184" t="e">
        <f t="shared" ca="1" si="52"/>
        <v>#NAME?</v>
      </c>
      <c r="Q130" s="184" t="e">
        <f t="shared" ca="1" si="52"/>
        <v>#NAME?</v>
      </c>
      <c r="R130" s="184" t="e">
        <f t="shared" ca="1" si="52"/>
        <v>#NAME?</v>
      </c>
      <c r="S130" s="184" t="e">
        <f t="shared" ca="1" si="52"/>
        <v>#NAME?</v>
      </c>
      <c r="T130" s="184" t="e">
        <f t="shared" ca="1" si="52"/>
        <v>#NAME?</v>
      </c>
      <c r="U130" s="184" t="e">
        <f t="shared" ca="1" si="52"/>
        <v>#NAME?</v>
      </c>
      <c r="V130" s="184" t="e">
        <f t="shared" ca="1" si="52"/>
        <v>#NAME?</v>
      </c>
      <c r="W130" s="184" t="e">
        <f t="shared" ca="1" si="52"/>
        <v>#NAME?</v>
      </c>
      <c r="X130" s="184" t="e">
        <f t="shared" ca="1" si="52"/>
        <v>#NAME?</v>
      </c>
      <c r="Y130" s="184" t="e">
        <f t="shared" ca="1" si="52"/>
        <v>#NAME?</v>
      </c>
      <c r="Z130" s="246" t="e">
        <f t="array" aca="1" ref="Z130" ca="1">SUM(B129:Y129*B130:Y130)</f>
        <v>#NAME?</v>
      </c>
      <c r="AA130" s="302" t="s">
        <v>168</v>
      </c>
    </row>
    <row r="131" spans="1:27" x14ac:dyDescent="0.2">
      <c r="A131" s="179" t="s">
        <v>176</v>
      </c>
      <c r="B131" s="181"/>
      <c r="C131" s="181"/>
      <c r="D131" s="181"/>
      <c r="E131" s="181"/>
      <c r="F131" s="181"/>
      <c r="G131" s="181"/>
      <c r="H131" s="181"/>
      <c r="I131" s="181"/>
      <c r="J131" s="181"/>
      <c r="K131" s="181"/>
      <c r="L131" s="181"/>
      <c r="M131" s="181"/>
      <c r="N131" s="181"/>
      <c r="O131" s="181"/>
      <c r="P131" s="181"/>
      <c r="Q131" s="181"/>
      <c r="R131" s="181"/>
      <c r="S131" s="181"/>
      <c r="T131" s="181"/>
      <c r="U131" s="181"/>
      <c r="V131" s="181"/>
      <c r="W131" s="181"/>
      <c r="X131" s="181"/>
      <c r="Y131" s="181"/>
      <c r="Z131" s="208">
        <f>SUM(B131:Y131)</f>
        <v>0</v>
      </c>
    </row>
    <row r="132" spans="1:27" x14ac:dyDescent="0.2">
      <c r="A132" s="177"/>
      <c r="B132" s="185" t="e">
        <f t="shared" ref="B132:Y132" ca="1" si="53">IndGencost(B131,OFFSET(HeatRateStart,1,MATCH($A129,HeatRateNames,0)-1,250,1),$A130)</f>
        <v>#NAME?</v>
      </c>
      <c r="C132" s="185" t="e">
        <f t="shared" ca="1" si="53"/>
        <v>#NAME?</v>
      </c>
      <c r="D132" s="185" t="e">
        <f t="shared" ca="1" si="53"/>
        <v>#NAME?</v>
      </c>
      <c r="E132" s="185" t="e">
        <f ca="1">IndGencost(E131,OFFSET(HeatRateStart,1,MATCH($A129,HeatRateNames,0)-1,250,1),$A130)</f>
        <v>#NAME?</v>
      </c>
      <c r="F132" s="185" t="e">
        <f t="shared" ca="1" si="53"/>
        <v>#NAME?</v>
      </c>
      <c r="G132" s="185" t="e">
        <f t="shared" ca="1" si="53"/>
        <v>#NAME?</v>
      </c>
      <c r="H132" s="185" t="e">
        <f t="shared" ca="1" si="53"/>
        <v>#NAME?</v>
      </c>
      <c r="I132" s="185" t="e">
        <f t="shared" ca="1" si="53"/>
        <v>#NAME?</v>
      </c>
      <c r="J132" s="185" t="e">
        <f t="shared" ca="1" si="53"/>
        <v>#NAME?</v>
      </c>
      <c r="K132" s="185" t="e">
        <f t="shared" ca="1" si="53"/>
        <v>#NAME?</v>
      </c>
      <c r="L132" s="185" t="e">
        <f t="shared" ca="1" si="53"/>
        <v>#NAME?</v>
      </c>
      <c r="M132" s="185" t="e">
        <f t="shared" ca="1" si="53"/>
        <v>#NAME?</v>
      </c>
      <c r="N132" s="185" t="e">
        <f t="shared" ca="1" si="53"/>
        <v>#NAME?</v>
      </c>
      <c r="O132" s="185" t="e">
        <f t="shared" ca="1" si="53"/>
        <v>#NAME?</v>
      </c>
      <c r="P132" s="185" t="e">
        <f t="shared" ca="1" si="53"/>
        <v>#NAME?</v>
      </c>
      <c r="Q132" s="185" t="e">
        <f t="shared" ca="1" si="53"/>
        <v>#NAME?</v>
      </c>
      <c r="R132" s="185" t="e">
        <f t="shared" ca="1" si="53"/>
        <v>#NAME?</v>
      </c>
      <c r="S132" s="185" t="e">
        <f t="shared" ca="1" si="53"/>
        <v>#NAME?</v>
      </c>
      <c r="T132" s="185" t="e">
        <f t="shared" ca="1" si="53"/>
        <v>#NAME?</v>
      </c>
      <c r="U132" s="185" t="e">
        <f t="shared" ca="1" si="53"/>
        <v>#NAME?</v>
      </c>
      <c r="V132" s="185" t="e">
        <f t="shared" ca="1" si="53"/>
        <v>#NAME?</v>
      </c>
      <c r="W132" s="185" t="e">
        <f t="shared" ca="1" si="53"/>
        <v>#NAME?</v>
      </c>
      <c r="X132" s="185" t="e">
        <f t="shared" ca="1" si="53"/>
        <v>#NAME?</v>
      </c>
      <c r="Y132" s="185" t="e">
        <f t="shared" ca="1" si="53"/>
        <v>#NAME?</v>
      </c>
      <c r="Z132" s="245" t="e">
        <f t="array" aca="1" ref="Z132" ca="1">SUM(B131:Y131*B132:Y132)</f>
        <v>#NAME?</v>
      </c>
    </row>
    <row r="133" spans="1:27" ht="13.5" thickBot="1" x14ac:dyDescent="0.25">
      <c r="A133" s="182" t="s">
        <v>166</v>
      </c>
      <c r="B133" s="183" t="e">
        <f t="shared" ref="B133:Y133" ca="1" si="54">B132-B130</f>
        <v>#NAME?</v>
      </c>
      <c r="C133" s="183" t="e">
        <f t="shared" ca="1" si="54"/>
        <v>#NAME?</v>
      </c>
      <c r="D133" s="183" t="e">
        <f t="shared" ca="1" si="54"/>
        <v>#NAME?</v>
      </c>
      <c r="E133" s="183" t="e">
        <f t="shared" ca="1" si="54"/>
        <v>#NAME?</v>
      </c>
      <c r="F133" s="183" t="e">
        <f t="shared" ca="1" si="54"/>
        <v>#NAME?</v>
      </c>
      <c r="G133" s="183" t="e">
        <f t="shared" ca="1" si="54"/>
        <v>#NAME?</v>
      </c>
      <c r="H133" s="183" t="e">
        <f t="shared" ca="1" si="54"/>
        <v>#NAME?</v>
      </c>
      <c r="I133" s="183" t="e">
        <f t="shared" ca="1" si="54"/>
        <v>#NAME?</v>
      </c>
      <c r="J133" s="183" t="e">
        <f t="shared" ca="1" si="54"/>
        <v>#NAME?</v>
      </c>
      <c r="K133" s="183" t="e">
        <f t="shared" ca="1" si="54"/>
        <v>#NAME?</v>
      </c>
      <c r="L133" s="183" t="e">
        <f t="shared" ca="1" si="54"/>
        <v>#NAME?</v>
      </c>
      <c r="M133" s="183" t="e">
        <f t="shared" ca="1" si="54"/>
        <v>#NAME?</v>
      </c>
      <c r="N133" s="183" t="e">
        <f t="shared" ca="1" si="54"/>
        <v>#NAME?</v>
      </c>
      <c r="O133" s="183" t="e">
        <f t="shared" ca="1" si="54"/>
        <v>#NAME?</v>
      </c>
      <c r="P133" s="183" t="e">
        <f t="shared" ca="1" si="54"/>
        <v>#NAME?</v>
      </c>
      <c r="Q133" s="183" t="e">
        <f t="shared" ca="1" si="54"/>
        <v>#NAME?</v>
      </c>
      <c r="R133" s="183" t="e">
        <f t="shared" ca="1" si="54"/>
        <v>#NAME?</v>
      </c>
      <c r="S133" s="183" t="e">
        <f t="shared" ca="1" si="54"/>
        <v>#NAME?</v>
      </c>
      <c r="T133" s="183" t="e">
        <f t="shared" ca="1" si="54"/>
        <v>#NAME?</v>
      </c>
      <c r="U133" s="183" t="e">
        <f t="shared" ca="1" si="54"/>
        <v>#NAME?</v>
      </c>
      <c r="V133" s="183" t="e">
        <f t="shared" ca="1" si="54"/>
        <v>#NAME?</v>
      </c>
      <c r="W133" s="183" t="e">
        <f t="shared" ca="1" si="54"/>
        <v>#NAME?</v>
      </c>
      <c r="X133" s="183" t="e">
        <f t="shared" ca="1" si="54"/>
        <v>#NAME?</v>
      </c>
      <c r="Y133" s="183" t="e">
        <f t="shared" ca="1" si="54"/>
        <v>#NAME?</v>
      </c>
      <c r="Z133" s="247" t="e">
        <f ca="1">Z130-Z132</f>
        <v>#NAME?</v>
      </c>
    </row>
    <row r="134" spans="1:27" x14ac:dyDescent="0.2">
      <c r="A134" s="178" t="str">
        <f>Economics!A40</f>
        <v>GT2+ST1</v>
      </c>
      <c r="B134" s="176">
        <f t="shared" ref="B134:Y134" si="55">B47</f>
        <v>0</v>
      </c>
      <c r="C134" s="176">
        <f t="shared" si="55"/>
        <v>0</v>
      </c>
      <c r="D134" s="176">
        <f t="shared" si="55"/>
        <v>0</v>
      </c>
      <c r="E134" s="176">
        <f>E47</f>
        <v>0</v>
      </c>
      <c r="F134" s="176">
        <f t="shared" si="55"/>
        <v>0</v>
      </c>
      <c r="G134" s="176">
        <f t="shared" si="55"/>
        <v>0</v>
      </c>
      <c r="H134" s="176">
        <f t="shared" si="55"/>
        <v>0</v>
      </c>
      <c r="I134" s="176">
        <f t="shared" si="55"/>
        <v>0</v>
      </c>
      <c r="J134" s="176">
        <f t="shared" si="55"/>
        <v>0</v>
      </c>
      <c r="K134" s="176">
        <f t="shared" si="55"/>
        <v>0</v>
      </c>
      <c r="L134" s="176">
        <f t="shared" si="55"/>
        <v>0</v>
      </c>
      <c r="M134" s="176">
        <f t="shared" si="55"/>
        <v>0</v>
      </c>
      <c r="N134" s="176">
        <f t="shared" si="55"/>
        <v>0</v>
      </c>
      <c r="O134" s="176">
        <f t="shared" si="55"/>
        <v>0</v>
      </c>
      <c r="P134" s="176">
        <f t="shared" si="55"/>
        <v>0</v>
      </c>
      <c r="Q134" s="176">
        <f t="shared" si="55"/>
        <v>0</v>
      </c>
      <c r="R134" s="176">
        <f t="shared" si="55"/>
        <v>0</v>
      </c>
      <c r="S134" s="176">
        <f t="shared" si="55"/>
        <v>0</v>
      </c>
      <c r="T134" s="176">
        <f t="shared" si="55"/>
        <v>0</v>
      </c>
      <c r="U134" s="176">
        <f t="shared" si="55"/>
        <v>0</v>
      </c>
      <c r="V134" s="176">
        <f t="shared" si="55"/>
        <v>0</v>
      </c>
      <c r="W134" s="176">
        <f t="shared" si="55"/>
        <v>0</v>
      </c>
      <c r="X134" s="176">
        <f t="shared" si="55"/>
        <v>0</v>
      </c>
      <c r="Y134" s="176">
        <f t="shared" si="55"/>
        <v>0</v>
      </c>
      <c r="Z134" s="207">
        <f>SUM(B134:Y134)</f>
        <v>0</v>
      </c>
      <c r="AA134" s="302" t="s">
        <v>175</v>
      </c>
    </row>
    <row r="135" spans="1:27" x14ac:dyDescent="0.2">
      <c r="A135" s="180">
        <f>Economics!$I40</f>
        <v>1.96</v>
      </c>
      <c r="B135" s="184" t="e">
        <f t="shared" ref="B135:Y135" ca="1" si="56">IndGencost(B134,OFFSET(HeatRateStart,1,MATCH($A134,HeatRateNames,0)-1,250,1),$A135)</f>
        <v>#NAME?</v>
      </c>
      <c r="C135" s="184" t="e">
        <f t="shared" ca="1" si="56"/>
        <v>#NAME?</v>
      </c>
      <c r="D135" s="184" t="e">
        <f t="shared" ca="1" si="56"/>
        <v>#NAME?</v>
      </c>
      <c r="E135" s="184" t="e">
        <f ca="1">IndGencost(E134,OFFSET(HeatRateStart,1,MATCH($A134,HeatRateNames,0)-1,250,1),$A135)</f>
        <v>#NAME?</v>
      </c>
      <c r="F135" s="184" t="e">
        <f t="shared" ca="1" si="56"/>
        <v>#NAME?</v>
      </c>
      <c r="G135" s="184" t="e">
        <f t="shared" ca="1" si="56"/>
        <v>#NAME?</v>
      </c>
      <c r="H135" s="184" t="e">
        <f t="shared" ca="1" si="56"/>
        <v>#NAME?</v>
      </c>
      <c r="I135" s="184" t="e">
        <f t="shared" ca="1" si="56"/>
        <v>#NAME?</v>
      </c>
      <c r="J135" s="184" t="e">
        <f t="shared" ca="1" si="56"/>
        <v>#NAME?</v>
      </c>
      <c r="K135" s="184" t="e">
        <f t="shared" ca="1" si="56"/>
        <v>#NAME?</v>
      </c>
      <c r="L135" s="184" t="e">
        <f t="shared" ca="1" si="56"/>
        <v>#NAME?</v>
      </c>
      <c r="M135" s="184" t="e">
        <f t="shared" ca="1" si="56"/>
        <v>#NAME?</v>
      </c>
      <c r="N135" s="184" t="e">
        <f t="shared" ca="1" si="56"/>
        <v>#NAME?</v>
      </c>
      <c r="O135" s="184" t="e">
        <f t="shared" ca="1" si="56"/>
        <v>#NAME?</v>
      </c>
      <c r="P135" s="184" t="e">
        <f t="shared" ca="1" si="56"/>
        <v>#NAME?</v>
      </c>
      <c r="Q135" s="184" t="e">
        <f t="shared" ca="1" si="56"/>
        <v>#NAME?</v>
      </c>
      <c r="R135" s="184" t="e">
        <f t="shared" ca="1" si="56"/>
        <v>#NAME?</v>
      </c>
      <c r="S135" s="184" t="e">
        <f t="shared" ca="1" si="56"/>
        <v>#NAME?</v>
      </c>
      <c r="T135" s="184" t="e">
        <f t="shared" ca="1" si="56"/>
        <v>#NAME?</v>
      </c>
      <c r="U135" s="184" t="e">
        <f t="shared" ca="1" si="56"/>
        <v>#NAME?</v>
      </c>
      <c r="V135" s="184" t="e">
        <f t="shared" ca="1" si="56"/>
        <v>#NAME?</v>
      </c>
      <c r="W135" s="184" t="e">
        <f t="shared" ca="1" si="56"/>
        <v>#NAME?</v>
      </c>
      <c r="X135" s="184" t="e">
        <f t="shared" ca="1" si="56"/>
        <v>#NAME?</v>
      </c>
      <c r="Y135" s="184" t="e">
        <f t="shared" ca="1" si="56"/>
        <v>#NAME?</v>
      </c>
      <c r="Z135" s="246" t="e">
        <f t="array" aca="1" ref="Z135" ca="1">SUM(B134:Y134*B135:Y135)</f>
        <v>#NAME?</v>
      </c>
      <c r="AA135" s="302" t="s">
        <v>168</v>
      </c>
    </row>
    <row r="136" spans="1:27" x14ac:dyDescent="0.2">
      <c r="A136" s="179" t="s">
        <v>164</v>
      </c>
      <c r="B136" s="181">
        <f t="shared" ref="B136:Y136" si="57">B134</f>
        <v>0</v>
      </c>
      <c r="C136" s="181">
        <f t="shared" si="57"/>
        <v>0</v>
      </c>
      <c r="D136" s="181">
        <f t="shared" si="57"/>
        <v>0</v>
      </c>
      <c r="E136" s="181">
        <f t="shared" si="57"/>
        <v>0</v>
      </c>
      <c r="F136" s="181">
        <f t="shared" si="57"/>
        <v>0</v>
      </c>
      <c r="G136" s="181">
        <f t="shared" si="57"/>
        <v>0</v>
      </c>
      <c r="H136" s="181">
        <f t="shared" si="57"/>
        <v>0</v>
      </c>
      <c r="I136" s="181">
        <f t="shared" si="57"/>
        <v>0</v>
      </c>
      <c r="J136" s="181">
        <f t="shared" si="57"/>
        <v>0</v>
      </c>
      <c r="K136" s="181">
        <f t="shared" si="57"/>
        <v>0</v>
      </c>
      <c r="L136" s="181">
        <f t="shared" si="57"/>
        <v>0</v>
      </c>
      <c r="M136" s="181">
        <f t="shared" si="57"/>
        <v>0</v>
      </c>
      <c r="N136" s="181">
        <f t="shared" si="57"/>
        <v>0</v>
      </c>
      <c r="O136" s="181">
        <f t="shared" si="57"/>
        <v>0</v>
      </c>
      <c r="P136" s="181">
        <f t="shared" si="57"/>
        <v>0</v>
      </c>
      <c r="Q136" s="181">
        <f t="shared" si="57"/>
        <v>0</v>
      </c>
      <c r="R136" s="181">
        <f t="shared" si="57"/>
        <v>0</v>
      </c>
      <c r="S136" s="181">
        <f t="shared" si="57"/>
        <v>0</v>
      </c>
      <c r="T136" s="181">
        <f t="shared" si="57"/>
        <v>0</v>
      </c>
      <c r="U136" s="181">
        <f t="shared" si="57"/>
        <v>0</v>
      </c>
      <c r="V136" s="181">
        <f t="shared" si="57"/>
        <v>0</v>
      </c>
      <c r="W136" s="181">
        <f t="shared" si="57"/>
        <v>0</v>
      </c>
      <c r="X136" s="181">
        <f t="shared" si="57"/>
        <v>0</v>
      </c>
      <c r="Y136" s="181">
        <f t="shared" si="57"/>
        <v>0</v>
      </c>
      <c r="Z136" s="208">
        <f>SUM(B136:Y136)</f>
        <v>0</v>
      </c>
    </row>
    <row r="137" spans="1:27" x14ac:dyDescent="0.2">
      <c r="A137" s="177"/>
      <c r="B137" s="185" t="e">
        <f ca="1">IndGencost(B136,OFFSET(HeatRateStart,1,MATCH($A134,HeatRateNames,0)-1,250,1),$A135)</f>
        <v>#NAME?</v>
      </c>
      <c r="C137" s="185" t="e">
        <f ca="1">IndGencost(C136,OFFSET(HeatRateStart,1,MATCH($A134,HeatRateNames,0)-1,250,1),$A135)</f>
        <v>#NAME?</v>
      </c>
      <c r="D137" s="185"/>
      <c r="E137" s="185" t="e">
        <f ca="1">IndGencost(E136,OFFSET(HeatRateStart,1,MATCH($A134,HeatRateNames,0)-1,250,1),$A135)</f>
        <v>#NAME?</v>
      </c>
      <c r="F137" s="185" t="e">
        <f t="shared" ref="F137:Y137" ca="1" si="58">IndGencost(F136,OFFSET(HeatRateStart,1,MATCH($A134,HeatRateNames,0)-1,250,1),$A135)</f>
        <v>#NAME?</v>
      </c>
      <c r="G137" s="185" t="e">
        <f t="shared" ca="1" si="58"/>
        <v>#NAME?</v>
      </c>
      <c r="H137" s="185" t="e">
        <f t="shared" ca="1" si="58"/>
        <v>#NAME?</v>
      </c>
      <c r="I137" s="185" t="e">
        <f t="shared" ca="1" si="58"/>
        <v>#NAME?</v>
      </c>
      <c r="J137" s="185" t="e">
        <f t="shared" ca="1" si="58"/>
        <v>#NAME?</v>
      </c>
      <c r="K137" s="185" t="e">
        <f t="shared" ca="1" si="58"/>
        <v>#NAME?</v>
      </c>
      <c r="L137" s="185" t="e">
        <f t="shared" ca="1" si="58"/>
        <v>#NAME?</v>
      </c>
      <c r="M137" s="185" t="e">
        <f t="shared" ca="1" si="58"/>
        <v>#NAME?</v>
      </c>
      <c r="N137" s="185" t="e">
        <f t="shared" ca="1" si="58"/>
        <v>#NAME?</v>
      </c>
      <c r="O137" s="185" t="e">
        <f t="shared" ca="1" si="58"/>
        <v>#NAME?</v>
      </c>
      <c r="P137" s="185" t="e">
        <f t="shared" ca="1" si="58"/>
        <v>#NAME?</v>
      </c>
      <c r="Q137" s="185" t="e">
        <f t="shared" ca="1" si="58"/>
        <v>#NAME?</v>
      </c>
      <c r="R137" s="185" t="e">
        <f t="shared" ca="1" si="58"/>
        <v>#NAME?</v>
      </c>
      <c r="S137" s="185" t="e">
        <f t="shared" ca="1" si="58"/>
        <v>#NAME?</v>
      </c>
      <c r="T137" s="185" t="e">
        <f t="shared" ca="1" si="58"/>
        <v>#NAME?</v>
      </c>
      <c r="U137" s="185" t="e">
        <f t="shared" ca="1" si="58"/>
        <v>#NAME?</v>
      </c>
      <c r="V137" s="185" t="e">
        <f t="shared" ca="1" si="58"/>
        <v>#NAME?</v>
      </c>
      <c r="W137" s="185" t="e">
        <f t="shared" ca="1" si="58"/>
        <v>#NAME?</v>
      </c>
      <c r="X137" s="185" t="e">
        <f t="shared" ca="1" si="58"/>
        <v>#NAME?</v>
      </c>
      <c r="Y137" s="185" t="e">
        <f t="shared" ca="1" si="58"/>
        <v>#NAME?</v>
      </c>
      <c r="Z137" s="245" t="e">
        <f t="array" aca="1" ref="Z137" ca="1">SUM(B136:Y136*B137:Y137)</f>
        <v>#NAME?</v>
      </c>
    </row>
    <row r="138" spans="1:27" ht="13.5" thickBot="1" x14ac:dyDescent="0.25">
      <c r="A138" s="182" t="s">
        <v>166</v>
      </c>
      <c r="B138" s="183" t="e">
        <f t="shared" ref="B138:Y138" ca="1" si="59">B137-B135</f>
        <v>#NAME?</v>
      </c>
      <c r="C138" s="183" t="e">
        <f t="shared" ca="1" si="59"/>
        <v>#NAME?</v>
      </c>
      <c r="D138" s="183" t="e">
        <f t="shared" ca="1" si="59"/>
        <v>#NAME?</v>
      </c>
      <c r="E138" s="183" t="e">
        <f t="shared" ca="1" si="59"/>
        <v>#NAME?</v>
      </c>
      <c r="F138" s="183" t="e">
        <f t="shared" ca="1" si="59"/>
        <v>#NAME?</v>
      </c>
      <c r="G138" s="183" t="e">
        <f t="shared" ca="1" si="59"/>
        <v>#NAME?</v>
      </c>
      <c r="H138" s="183" t="e">
        <f t="shared" ca="1" si="59"/>
        <v>#NAME?</v>
      </c>
      <c r="I138" s="183" t="e">
        <f t="shared" ca="1" si="59"/>
        <v>#NAME?</v>
      </c>
      <c r="J138" s="183" t="e">
        <f t="shared" ca="1" si="59"/>
        <v>#NAME?</v>
      </c>
      <c r="K138" s="183" t="e">
        <f t="shared" ca="1" si="59"/>
        <v>#NAME?</v>
      </c>
      <c r="L138" s="183" t="e">
        <f t="shared" ca="1" si="59"/>
        <v>#NAME?</v>
      </c>
      <c r="M138" s="183" t="e">
        <f t="shared" ca="1" si="59"/>
        <v>#NAME?</v>
      </c>
      <c r="N138" s="183" t="e">
        <f t="shared" ca="1" si="59"/>
        <v>#NAME?</v>
      </c>
      <c r="O138" s="183" t="e">
        <f t="shared" ca="1" si="59"/>
        <v>#NAME?</v>
      </c>
      <c r="P138" s="183" t="e">
        <f t="shared" ca="1" si="59"/>
        <v>#NAME?</v>
      </c>
      <c r="Q138" s="183" t="e">
        <f t="shared" ca="1" si="59"/>
        <v>#NAME?</v>
      </c>
      <c r="R138" s="183" t="e">
        <f t="shared" ca="1" si="59"/>
        <v>#NAME?</v>
      </c>
      <c r="S138" s="183" t="e">
        <f t="shared" ca="1" si="59"/>
        <v>#NAME?</v>
      </c>
      <c r="T138" s="183" t="e">
        <f t="shared" ca="1" si="59"/>
        <v>#NAME?</v>
      </c>
      <c r="U138" s="183" t="e">
        <f t="shared" ca="1" si="59"/>
        <v>#NAME?</v>
      </c>
      <c r="V138" s="183" t="e">
        <f t="shared" ca="1" si="59"/>
        <v>#NAME?</v>
      </c>
      <c r="W138" s="183" t="e">
        <f t="shared" ca="1" si="59"/>
        <v>#NAME?</v>
      </c>
      <c r="X138" s="183" t="e">
        <f t="shared" ca="1" si="59"/>
        <v>#NAME?</v>
      </c>
      <c r="Y138" s="183" t="e">
        <f t="shared" ca="1" si="59"/>
        <v>#NAME?</v>
      </c>
      <c r="Z138" s="247" t="e">
        <f ca="1">Z135-Z137</f>
        <v>#NAME?</v>
      </c>
    </row>
    <row r="139" spans="1:27" x14ac:dyDescent="0.2">
      <c r="A139" s="178" t="str">
        <f>Economics!A41</f>
        <v>Newman 4</v>
      </c>
      <c r="B139" s="176">
        <f t="shared" ref="B139:Y139" si="60">B48</f>
        <v>0</v>
      </c>
      <c r="C139" s="176">
        <f t="shared" si="60"/>
        <v>0</v>
      </c>
      <c r="D139" s="176">
        <f t="shared" si="60"/>
        <v>0</v>
      </c>
      <c r="E139" s="176">
        <f>E48</f>
        <v>0</v>
      </c>
      <c r="F139" s="176">
        <f t="shared" si="60"/>
        <v>0</v>
      </c>
      <c r="G139" s="176">
        <f t="shared" si="60"/>
        <v>0</v>
      </c>
      <c r="H139" s="176">
        <f t="shared" si="60"/>
        <v>0</v>
      </c>
      <c r="I139" s="176">
        <f t="shared" si="60"/>
        <v>0</v>
      </c>
      <c r="J139" s="176">
        <f t="shared" si="60"/>
        <v>98</v>
      </c>
      <c r="K139" s="176">
        <f t="shared" si="60"/>
        <v>192</v>
      </c>
      <c r="L139" s="176">
        <f t="shared" si="60"/>
        <v>209</v>
      </c>
      <c r="M139" s="176">
        <f t="shared" si="60"/>
        <v>212</v>
      </c>
      <c r="N139" s="176">
        <f t="shared" si="60"/>
        <v>198</v>
      </c>
      <c r="O139" s="176">
        <f t="shared" si="60"/>
        <v>208</v>
      </c>
      <c r="P139" s="176">
        <f t="shared" si="60"/>
        <v>207</v>
      </c>
      <c r="Q139" s="176">
        <f t="shared" si="60"/>
        <v>208</v>
      </c>
      <c r="R139" s="176">
        <f t="shared" si="60"/>
        <v>209</v>
      </c>
      <c r="S139" s="176">
        <f t="shared" si="60"/>
        <v>208</v>
      </c>
      <c r="T139" s="176">
        <f t="shared" si="60"/>
        <v>171</v>
      </c>
      <c r="U139" s="176">
        <f t="shared" si="60"/>
        <v>209</v>
      </c>
      <c r="V139" s="176">
        <f t="shared" si="60"/>
        <v>212</v>
      </c>
      <c r="W139" s="176">
        <f t="shared" si="60"/>
        <v>173</v>
      </c>
      <c r="X139" s="176">
        <f t="shared" si="60"/>
        <v>156</v>
      </c>
      <c r="Y139" s="176">
        <f t="shared" si="60"/>
        <v>125</v>
      </c>
      <c r="Z139" s="207">
        <f>SUM(B139:Y139)</f>
        <v>2995</v>
      </c>
      <c r="AA139" s="302" t="s">
        <v>175</v>
      </c>
    </row>
    <row r="140" spans="1:27" x14ac:dyDescent="0.2">
      <c r="A140" s="180">
        <f>Economics!$I41</f>
        <v>1.96</v>
      </c>
      <c r="B140" s="184" t="e">
        <f t="shared" ref="B140:Y140" ca="1" si="61">IndGencost(B139,OFFSET(HeatRateStart,1,MATCH($A139,HeatRateNames,0)-1,250,1),$A140)</f>
        <v>#NAME?</v>
      </c>
      <c r="C140" s="184" t="e">
        <f t="shared" ca="1" si="61"/>
        <v>#NAME?</v>
      </c>
      <c r="D140" s="184" t="e">
        <f t="shared" ca="1" si="61"/>
        <v>#NAME?</v>
      </c>
      <c r="E140" s="184" t="e">
        <f ca="1">IndGencost(E139,OFFSET(HeatRateStart,1,MATCH($A139,HeatRateNames,0)-1,250,1),$A140)</f>
        <v>#NAME?</v>
      </c>
      <c r="F140" s="184" t="e">
        <f t="shared" ca="1" si="61"/>
        <v>#NAME?</v>
      </c>
      <c r="G140" s="184" t="e">
        <f t="shared" ca="1" si="61"/>
        <v>#NAME?</v>
      </c>
      <c r="H140" s="184" t="e">
        <f t="shared" ca="1" si="61"/>
        <v>#NAME?</v>
      </c>
      <c r="I140" s="184" t="e">
        <f t="shared" ca="1" si="61"/>
        <v>#NAME?</v>
      </c>
      <c r="J140" s="184" t="e">
        <f t="shared" ca="1" si="61"/>
        <v>#NAME?</v>
      </c>
      <c r="K140" s="184" t="e">
        <f t="shared" ca="1" si="61"/>
        <v>#NAME?</v>
      </c>
      <c r="L140" s="184" t="e">
        <f t="shared" ca="1" si="61"/>
        <v>#NAME?</v>
      </c>
      <c r="M140" s="184" t="e">
        <f t="shared" ca="1" si="61"/>
        <v>#NAME?</v>
      </c>
      <c r="N140" s="184" t="e">
        <f t="shared" ca="1" si="61"/>
        <v>#NAME?</v>
      </c>
      <c r="O140" s="184" t="e">
        <f t="shared" ca="1" si="61"/>
        <v>#NAME?</v>
      </c>
      <c r="P140" s="184" t="e">
        <f t="shared" ca="1" si="61"/>
        <v>#NAME?</v>
      </c>
      <c r="Q140" s="184" t="e">
        <f t="shared" ca="1" si="61"/>
        <v>#NAME?</v>
      </c>
      <c r="R140" s="184" t="e">
        <f t="shared" ca="1" si="61"/>
        <v>#NAME?</v>
      </c>
      <c r="S140" s="184" t="e">
        <f t="shared" ca="1" si="61"/>
        <v>#NAME?</v>
      </c>
      <c r="T140" s="184" t="e">
        <f t="shared" ca="1" si="61"/>
        <v>#NAME?</v>
      </c>
      <c r="U140" s="184" t="e">
        <f t="shared" ca="1" si="61"/>
        <v>#NAME?</v>
      </c>
      <c r="V140" s="184" t="e">
        <f t="shared" ca="1" si="61"/>
        <v>#NAME?</v>
      </c>
      <c r="W140" s="184" t="e">
        <f t="shared" ca="1" si="61"/>
        <v>#NAME?</v>
      </c>
      <c r="X140" s="184" t="e">
        <f t="shared" ca="1" si="61"/>
        <v>#NAME?</v>
      </c>
      <c r="Y140" s="184" t="e">
        <f t="shared" ca="1" si="61"/>
        <v>#NAME?</v>
      </c>
      <c r="Z140" s="246" t="e">
        <f t="array" aca="1" ref="Z140" ca="1">SUM(B139:Y139*B140:Y140)</f>
        <v>#NAME?</v>
      </c>
      <c r="AA140" s="302" t="s">
        <v>168</v>
      </c>
    </row>
    <row r="141" spans="1:27" x14ac:dyDescent="0.2">
      <c r="A141" s="179" t="s">
        <v>177</v>
      </c>
      <c r="B141" s="181">
        <v>115</v>
      </c>
      <c r="C141" s="181">
        <v>115</v>
      </c>
      <c r="D141" s="181">
        <v>135</v>
      </c>
      <c r="E141" s="181">
        <v>135</v>
      </c>
      <c r="F141" s="181">
        <v>135</v>
      </c>
      <c r="G141" s="181">
        <v>135</v>
      </c>
      <c r="H141" s="181">
        <v>130</v>
      </c>
      <c r="I141" s="181">
        <v>115</v>
      </c>
      <c r="J141" s="181">
        <v>115</v>
      </c>
      <c r="K141" s="181">
        <v>115</v>
      </c>
      <c r="L141" s="181">
        <v>115</v>
      </c>
      <c r="M141" s="181">
        <v>115</v>
      </c>
      <c r="N141" s="181">
        <v>115</v>
      </c>
      <c r="O141" s="181">
        <v>115</v>
      </c>
      <c r="P141" s="181">
        <v>115</v>
      </c>
      <c r="Q141" s="181">
        <v>115</v>
      </c>
      <c r="R141" s="181">
        <v>115</v>
      </c>
      <c r="S141" s="181">
        <v>115</v>
      </c>
      <c r="T141" s="181">
        <v>185</v>
      </c>
      <c r="U141" s="181">
        <v>185</v>
      </c>
      <c r="V141" s="181">
        <v>170</v>
      </c>
      <c r="W141" s="181">
        <v>165</v>
      </c>
      <c r="X141" s="181">
        <v>145</v>
      </c>
      <c r="Y141" s="181">
        <v>145</v>
      </c>
      <c r="Z141" s="208">
        <f>SUM(B141:Y141)</f>
        <v>3160</v>
      </c>
      <c r="AA141" s="248"/>
    </row>
    <row r="142" spans="1:27" x14ac:dyDescent="0.2">
      <c r="A142" s="177"/>
      <c r="B142" s="185" t="e">
        <f t="shared" ref="B142:Y142" ca="1" si="62">IndGencost(B141,OFFSET(HeatRateStart,1,MATCH($A139,HeatRateNames,0)-1,250,1),$A140)</f>
        <v>#NAME?</v>
      </c>
      <c r="C142" s="185" t="e">
        <f t="shared" ca="1" si="62"/>
        <v>#NAME?</v>
      </c>
      <c r="D142" s="185" t="e">
        <f t="shared" ca="1" si="62"/>
        <v>#NAME?</v>
      </c>
      <c r="E142" s="185" t="e">
        <f ca="1">IndGencost(E141,OFFSET(HeatRateStart,1,MATCH($A139,HeatRateNames,0)-1,250,1),$A140)</f>
        <v>#NAME?</v>
      </c>
      <c r="F142" s="185" t="e">
        <f t="shared" ca="1" si="62"/>
        <v>#NAME?</v>
      </c>
      <c r="G142" s="185" t="e">
        <f t="shared" ca="1" si="62"/>
        <v>#NAME?</v>
      </c>
      <c r="H142" s="185" t="e">
        <f t="shared" ca="1" si="62"/>
        <v>#NAME?</v>
      </c>
      <c r="I142" s="185" t="e">
        <f t="shared" ca="1" si="62"/>
        <v>#NAME?</v>
      </c>
      <c r="J142" s="185" t="e">
        <f t="shared" ca="1" si="62"/>
        <v>#NAME?</v>
      </c>
      <c r="K142" s="185" t="e">
        <f t="shared" ca="1" si="62"/>
        <v>#NAME?</v>
      </c>
      <c r="L142" s="185" t="e">
        <f t="shared" ca="1" si="62"/>
        <v>#NAME?</v>
      </c>
      <c r="M142" s="185" t="e">
        <f t="shared" ca="1" si="62"/>
        <v>#NAME?</v>
      </c>
      <c r="N142" s="185" t="e">
        <f t="shared" ca="1" si="62"/>
        <v>#NAME?</v>
      </c>
      <c r="O142" s="185" t="e">
        <f t="shared" ca="1" si="62"/>
        <v>#NAME?</v>
      </c>
      <c r="P142" s="185" t="e">
        <f t="shared" ca="1" si="62"/>
        <v>#NAME?</v>
      </c>
      <c r="Q142" s="185" t="e">
        <f t="shared" ca="1" si="62"/>
        <v>#NAME?</v>
      </c>
      <c r="R142" s="185" t="e">
        <f t="shared" ca="1" si="62"/>
        <v>#NAME?</v>
      </c>
      <c r="S142" s="185" t="e">
        <f t="shared" ca="1" si="62"/>
        <v>#NAME?</v>
      </c>
      <c r="T142" s="185" t="e">
        <f t="shared" ca="1" si="62"/>
        <v>#NAME?</v>
      </c>
      <c r="U142" s="185" t="e">
        <f t="shared" ca="1" si="62"/>
        <v>#NAME?</v>
      </c>
      <c r="V142" s="185" t="e">
        <f t="shared" ca="1" si="62"/>
        <v>#NAME?</v>
      </c>
      <c r="W142" s="185" t="e">
        <f t="shared" ca="1" si="62"/>
        <v>#NAME?</v>
      </c>
      <c r="X142" s="185" t="e">
        <f t="shared" ca="1" si="62"/>
        <v>#NAME?</v>
      </c>
      <c r="Y142" s="185" t="e">
        <f t="shared" ca="1" si="62"/>
        <v>#NAME?</v>
      </c>
      <c r="Z142" s="245" t="e">
        <f t="array" aca="1" ref="Z142" ca="1">SUM(B141:Y141*B142:Y142)</f>
        <v>#NAME?</v>
      </c>
    </row>
    <row r="143" spans="1:27" ht="13.5" thickBot="1" x14ac:dyDescent="0.25">
      <c r="A143" s="182" t="s">
        <v>166</v>
      </c>
      <c r="B143" s="183" t="e">
        <f t="shared" ref="B143:Y143" ca="1" si="63">B142-B140</f>
        <v>#NAME?</v>
      </c>
      <c r="C143" s="183" t="e">
        <f t="shared" ca="1" si="63"/>
        <v>#NAME?</v>
      </c>
      <c r="D143" s="183" t="e">
        <f t="shared" ca="1" si="63"/>
        <v>#NAME?</v>
      </c>
      <c r="E143" s="183" t="e">
        <f t="shared" ca="1" si="63"/>
        <v>#NAME?</v>
      </c>
      <c r="F143" s="183" t="e">
        <f t="shared" ca="1" si="63"/>
        <v>#NAME?</v>
      </c>
      <c r="G143" s="183" t="e">
        <f t="shared" ca="1" si="63"/>
        <v>#NAME?</v>
      </c>
      <c r="H143" s="183" t="e">
        <f t="shared" ca="1" si="63"/>
        <v>#NAME?</v>
      </c>
      <c r="I143" s="183" t="e">
        <f t="shared" ca="1" si="63"/>
        <v>#NAME?</v>
      </c>
      <c r="J143" s="183" t="e">
        <f t="shared" ca="1" si="63"/>
        <v>#NAME?</v>
      </c>
      <c r="K143" s="183" t="e">
        <f t="shared" ca="1" si="63"/>
        <v>#NAME?</v>
      </c>
      <c r="L143" s="183" t="e">
        <f t="shared" ca="1" si="63"/>
        <v>#NAME?</v>
      </c>
      <c r="M143" s="183" t="e">
        <f t="shared" ca="1" si="63"/>
        <v>#NAME?</v>
      </c>
      <c r="N143" s="183" t="e">
        <f t="shared" ca="1" si="63"/>
        <v>#NAME?</v>
      </c>
      <c r="O143" s="183" t="e">
        <f t="shared" ca="1" si="63"/>
        <v>#NAME?</v>
      </c>
      <c r="P143" s="183" t="e">
        <f t="shared" ca="1" si="63"/>
        <v>#NAME?</v>
      </c>
      <c r="Q143" s="183" t="e">
        <f t="shared" ca="1" si="63"/>
        <v>#NAME?</v>
      </c>
      <c r="R143" s="183" t="e">
        <f t="shared" ca="1" si="63"/>
        <v>#NAME?</v>
      </c>
      <c r="S143" s="183" t="e">
        <f t="shared" ca="1" si="63"/>
        <v>#NAME?</v>
      </c>
      <c r="T143" s="183" t="e">
        <f t="shared" ca="1" si="63"/>
        <v>#NAME?</v>
      </c>
      <c r="U143" s="183" t="e">
        <f t="shared" ca="1" si="63"/>
        <v>#NAME?</v>
      </c>
      <c r="V143" s="183" t="e">
        <f t="shared" ca="1" si="63"/>
        <v>#NAME?</v>
      </c>
      <c r="W143" s="183" t="e">
        <f t="shared" ca="1" si="63"/>
        <v>#NAME?</v>
      </c>
      <c r="X143" s="183" t="e">
        <f t="shared" ca="1" si="63"/>
        <v>#NAME?</v>
      </c>
      <c r="Y143" s="183" t="e">
        <f t="shared" ca="1" si="63"/>
        <v>#NAME?</v>
      </c>
      <c r="Z143" s="247" t="e">
        <f ca="1">Z140-Z142</f>
        <v>#NAME?</v>
      </c>
    </row>
    <row r="144" spans="1:27" x14ac:dyDescent="0.2">
      <c r="A144" s="178" t="str">
        <f>Economics!A42</f>
        <v>Copper</v>
      </c>
      <c r="B144" s="176">
        <f t="shared" ref="B144:T144" si="64">B49</f>
        <v>4</v>
      </c>
      <c r="C144" s="176">
        <f t="shared" si="64"/>
        <v>4</v>
      </c>
      <c r="D144" s="176">
        <f t="shared" si="64"/>
        <v>4</v>
      </c>
      <c r="E144" s="176">
        <f>E49</f>
        <v>4</v>
      </c>
      <c r="F144" s="176">
        <f t="shared" si="64"/>
        <v>4</v>
      </c>
      <c r="G144" s="176">
        <f t="shared" si="64"/>
        <v>49</v>
      </c>
      <c r="H144" s="176">
        <f t="shared" si="64"/>
        <v>17</v>
      </c>
      <c r="I144" s="176">
        <f t="shared" si="64"/>
        <v>53</v>
      </c>
      <c r="J144" s="176">
        <f t="shared" si="64"/>
        <v>67</v>
      </c>
      <c r="K144" s="176">
        <f t="shared" si="64"/>
        <v>38</v>
      </c>
      <c r="L144" s="176">
        <f t="shared" si="64"/>
        <v>23</v>
      </c>
      <c r="M144" s="176">
        <f t="shared" si="64"/>
        <v>27</v>
      </c>
      <c r="N144" s="176">
        <f t="shared" si="64"/>
        <v>18</v>
      </c>
      <c r="O144" s="176">
        <f t="shared" si="64"/>
        <v>60</v>
      </c>
      <c r="P144" s="176">
        <f t="shared" si="64"/>
        <v>48</v>
      </c>
      <c r="Q144" s="176">
        <f t="shared" si="64"/>
        <v>25</v>
      </c>
      <c r="R144" s="176">
        <f t="shared" si="64"/>
        <v>22</v>
      </c>
      <c r="S144" s="176">
        <f t="shared" si="64"/>
        <v>27</v>
      </c>
      <c r="T144" s="176">
        <f t="shared" si="64"/>
        <v>17</v>
      </c>
      <c r="U144" s="176">
        <v>0</v>
      </c>
      <c r="V144" s="176">
        <v>0</v>
      </c>
      <c r="W144" s="176">
        <v>0</v>
      </c>
      <c r="X144" s="176">
        <f>X49</f>
        <v>14</v>
      </c>
      <c r="Y144" s="176">
        <f>Y49</f>
        <v>15</v>
      </c>
      <c r="Z144" s="207">
        <f>SUM(B144:Y144)</f>
        <v>540</v>
      </c>
      <c r="AA144" s="302" t="s">
        <v>171</v>
      </c>
    </row>
    <row r="145" spans="1:27" x14ac:dyDescent="0.2">
      <c r="A145" s="180">
        <f>Economics!$I41</f>
        <v>1.96</v>
      </c>
      <c r="B145" s="184" t="e">
        <f t="shared" ref="B145:Y145" ca="1" si="65">IndGencost(B144,OFFSET(HeatRateStart,1,MATCH($A144,HeatRateNames,0)-1,250,1),$A145)</f>
        <v>#NAME?</v>
      </c>
      <c r="C145" s="184" t="e">
        <f t="shared" ca="1" si="65"/>
        <v>#NAME?</v>
      </c>
      <c r="D145" s="184" t="e">
        <f t="shared" ca="1" si="65"/>
        <v>#NAME?</v>
      </c>
      <c r="E145" s="184" t="e">
        <f ca="1">IndGencost(E144,OFFSET(HeatRateStart,1,MATCH($A144,HeatRateNames,0)-1,250,1),$A145)</f>
        <v>#NAME?</v>
      </c>
      <c r="F145" s="184" t="e">
        <f t="shared" ca="1" si="65"/>
        <v>#NAME?</v>
      </c>
      <c r="G145" s="184" t="e">
        <f t="shared" ca="1" si="65"/>
        <v>#NAME?</v>
      </c>
      <c r="H145" s="184" t="e">
        <f t="shared" ca="1" si="65"/>
        <v>#NAME?</v>
      </c>
      <c r="I145" s="184" t="e">
        <f t="shared" ca="1" si="65"/>
        <v>#NAME?</v>
      </c>
      <c r="J145" s="184" t="e">
        <f t="shared" ca="1" si="65"/>
        <v>#NAME?</v>
      </c>
      <c r="K145" s="184" t="e">
        <f t="shared" ca="1" si="65"/>
        <v>#NAME?</v>
      </c>
      <c r="L145" s="184" t="e">
        <f t="shared" ca="1" si="65"/>
        <v>#NAME?</v>
      </c>
      <c r="M145" s="184" t="e">
        <f t="shared" ca="1" si="65"/>
        <v>#NAME?</v>
      </c>
      <c r="N145" s="184" t="e">
        <f t="shared" ca="1" si="65"/>
        <v>#NAME?</v>
      </c>
      <c r="O145" s="184" t="e">
        <f t="shared" ca="1" si="65"/>
        <v>#NAME?</v>
      </c>
      <c r="P145" s="184" t="e">
        <f t="shared" ca="1" si="65"/>
        <v>#NAME?</v>
      </c>
      <c r="Q145" s="184" t="e">
        <f t="shared" ca="1" si="65"/>
        <v>#NAME?</v>
      </c>
      <c r="R145" s="184" t="e">
        <f t="shared" ca="1" si="65"/>
        <v>#NAME?</v>
      </c>
      <c r="S145" s="184" t="e">
        <f t="shared" ca="1" si="65"/>
        <v>#NAME?</v>
      </c>
      <c r="T145" s="184" t="e">
        <f t="shared" ca="1" si="65"/>
        <v>#NAME?</v>
      </c>
      <c r="U145" s="184" t="e">
        <f t="shared" ca="1" si="65"/>
        <v>#NAME?</v>
      </c>
      <c r="V145" s="184" t="e">
        <f t="shared" ca="1" si="65"/>
        <v>#NAME?</v>
      </c>
      <c r="W145" s="184" t="e">
        <f t="shared" ca="1" si="65"/>
        <v>#NAME?</v>
      </c>
      <c r="X145" s="184" t="e">
        <f t="shared" ca="1" si="65"/>
        <v>#NAME?</v>
      </c>
      <c r="Y145" s="184" t="e">
        <f t="shared" ca="1" si="65"/>
        <v>#NAME?</v>
      </c>
      <c r="Z145" s="246" t="e">
        <f t="array" aca="1" ref="Z145" ca="1">SUM(B144:Y144*B145:Y145)</f>
        <v>#NAME?</v>
      </c>
      <c r="AA145" s="302" t="s">
        <v>168</v>
      </c>
    </row>
    <row r="146" spans="1:27" x14ac:dyDescent="0.2">
      <c r="A146" s="179" t="s">
        <v>178</v>
      </c>
      <c r="B146" s="181">
        <v>0</v>
      </c>
      <c r="C146" s="181">
        <f t="shared" ref="C146:T146" si="66">C144</f>
        <v>4</v>
      </c>
      <c r="D146" s="181">
        <f t="shared" si="66"/>
        <v>4</v>
      </c>
      <c r="E146" s="181">
        <f t="shared" si="66"/>
        <v>4</v>
      </c>
      <c r="F146" s="181">
        <f t="shared" si="66"/>
        <v>4</v>
      </c>
      <c r="G146" s="181">
        <f t="shared" si="66"/>
        <v>49</v>
      </c>
      <c r="H146" s="181">
        <f t="shared" si="66"/>
        <v>17</v>
      </c>
      <c r="I146" s="181">
        <f t="shared" si="66"/>
        <v>53</v>
      </c>
      <c r="J146" s="181">
        <f t="shared" si="66"/>
        <v>67</v>
      </c>
      <c r="K146" s="181">
        <f t="shared" si="66"/>
        <v>38</v>
      </c>
      <c r="L146" s="181">
        <f t="shared" si="66"/>
        <v>23</v>
      </c>
      <c r="M146" s="181">
        <f t="shared" si="66"/>
        <v>27</v>
      </c>
      <c r="N146" s="181">
        <f t="shared" si="66"/>
        <v>18</v>
      </c>
      <c r="O146" s="181">
        <f t="shared" si="66"/>
        <v>60</v>
      </c>
      <c r="P146" s="181">
        <f t="shared" si="66"/>
        <v>48</v>
      </c>
      <c r="Q146" s="181">
        <f t="shared" si="66"/>
        <v>25</v>
      </c>
      <c r="R146" s="181">
        <f t="shared" si="66"/>
        <v>22</v>
      </c>
      <c r="S146" s="181">
        <f t="shared" si="66"/>
        <v>27</v>
      </c>
      <c r="T146" s="181">
        <f t="shared" si="66"/>
        <v>17</v>
      </c>
      <c r="U146" s="181"/>
      <c r="V146" s="181"/>
      <c r="W146" s="181"/>
      <c r="X146" s="181">
        <f>X144</f>
        <v>14</v>
      </c>
      <c r="Y146" s="181">
        <f>Y144</f>
        <v>15</v>
      </c>
      <c r="Z146" s="208">
        <f>SUM(B146:Y146)</f>
        <v>536</v>
      </c>
    </row>
    <row r="147" spans="1:27" x14ac:dyDescent="0.2">
      <c r="A147" s="177"/>
      <c r="B147" s="185" t="e">
        <f t="shared" ref="B147:Y147" ca="1" si="67">IndGencost(B146,OFFSET(HeatRateStart,1,MATCH($A144,HeatRateNames,0)-1,250,1),$A145)</f>
        <v>#NAME?</v>
      </c>
      <c r="C147" s="185" t="e">
        <f t="shared" ca="1" si="67"/>
        <v>#NAME?</v>
      </c>
      <c r="D147" s="185" t="e">
        <f t="shared" ca="1" si="67"/>
        <v>#NAME?</v>
      </c>
      <c r="E147" s="185" t="e">
        <f ca="1">IndGencost(E146,OFFSET(HeatRateStart,1,MATCH($A144,HeatRateNames,0)-1,250,1),$A145)</f>
        <v>#NAME?</v>
      </c>
      <c r="F147" s="185" t="e">
        <f t="shared" ca="1" si="67"/>
        <v>#NAME?</v>
      </c>
      <c r="G147" s="185" t="e">
        <f t="shared" ca="1" si="67"/>
        <v>#NAME?</v>
      </c>
      <c r="H147" s="185" t="e">
        <f t="shared" ca="1" si="67"/>
        <v>#NAME?</v>
      </c>
      <c r="I147" s="185" t="e">
        <f t="shared" ca="1" si="67"/>
        <v>#NAME?</v>
      </c>
      <c r="J147" s="185" t="e">
        <f t="shared" ca="1" si="67"/>
        <v>#NAME?</v>
      </c>
      <c r="K147" s="185" t="e">
        <f t="shared" ca="1" si="67"/>
        <v>#NAME?</v>
      </c>
      <c r="L147" s="185" t="e">
        <f t="shared" ca="1" si="67"/>
        <v>#NAME?</v>
      </c>
      <c r="M147" s="185" t="e">
        <f t="shared" ca="1" si="67"/>
        <v>#NAME?</v>
      </c>
      <c r="N147" s="185" t="e">
        <f t="shared" ca="1" si="67"/>
        <v>#NAME?</v>
      </c>
      <c r="O147" s="185" t="e">
        <f t="shared" ca="1" si="67"/>
        <v>#NAME?</v>
      </c>
      <c r="P147" s="185" t="e">
        <f t="shared" ca="1" si="67"/>
        <v>#NAME?</v>
      </c>
      <c r="Q147" s="185" t="e">
        <f t="shared" ca="1" si="67"/>
        <v>#NAME?</v>
      </c>
      <c r="R147" s="185" t="e">
        <f t="shared" ca="1" si="67"/>
        <v>#NAME?</v>
      </c>
      <c r="S147" s="185" t="e">
        <f t="shared" ca="1" si="67"/>
        <v>#NAME?</v>
      </c>
      <c r="T147" s="185" t="e">
        <f t="shared" ca="1" si="67"/>
        <v>#NAME?</v>
      </c>
      <c r="U147" s="185" t="e">
        <f t="shared" ca="1" si="67"/>
        <v>#NAME?</v>
      </c>
      <c r="V147" s="185" t="e">
        <f t="shared" ca="1" si="67"/>
        <v>#NAME?</v>
      </c>
      <c r="W147" s="185" t="e">
        <f t="shared" ca="1" si="67"/>
        <v>#NAME?</v>
      </c>
      <c r="X147" s="185" t="e">
        <f t="shared" ca="1" si="67"/>
        <v>#NAME?</v>
      </c>
      <c r="Y147" s="185" t="e">
        <f t="shared" ca="1" si="67"/>
        <v>#NAME?</v>
      </c>
      <c r="Z147" s="245" t="e">
        <f t="array" aca="1" ref="Z147" ca="1">SUM(B146:Y146*B147:Y147)</f>
        <v>#NAME?</v>
      </c>
    </row>
    <row r="148" spans="1:27" ht="13.5" thickBot="1" x14ac:dyDescent="0.25">
      <c r="A148" s="182" t="s">
        <v>166</v>
      </c>
      <c r="B148" s="183" t="e">
        <f t="shared" ref="B148:Y148" ca="1" si="68">B147-B145</f>
        <v>#NAME?</v>
      </c>
      <c r="C148" s="183" t="e">
        <f t="shared" ca="1" si="68"/>
        <v>#NAME?</v>
      </c>
      <c r="D148" s="183" t="e">
        <f t="shared" ca="1" si="68"/>
        <v>#NAME?</v>
      </c>
      <c r="E148" s="183" t="e">
        <f t="shared" ca="1" si="68"/>
        <v>#NAME?</v>
      </c>
      <c r="F148" s="183" t="e">
        <f t="shared" ca="1" si="68"/>
        <v>#NAME?</v>
      </c>
      <c r="G148" s="183" t="e">
        <f t="shared" ca="1" si="68"/>
        <v>#NAME?</v>
      </c>
      <c r="H148" s="183" t="e">
        <f t="shared" ca="1" si="68"/>
        <v>#NAME?</v>
      </c>
      <c r="I148" s="183" t="e">
        <f t="shared" ca="1" si="68"/>
        <v>#NAME?</v>
      </c>
      <c r="J148" s="183" t="e">
        <f t="shared" ca="1" si="68"/>
        <v>#NAME?</v>
      </c>
      <c r="K148" s="183" t="e">
        <f t="shared" ca="1" si="68"/>
        <v>#NAME?</v>
      </c>
      <c r="L148" s="183" t="e">
        <f t="shared" ca="1" si="68"/>
        <v>#NAME?</v>
      </c>
      <c r="M148" s="183" t="e">
        <f t="shared" ca="1" si="68"/>
        <v>#NAME?</v>
      </c>
      <c r="N148" s="183" t="e">
        <f t="shared" ca="1" si="68"/>
        <v>#NAME?</v>
      </c>
      <c r="O148" s="183" t="e">
        <f t="shared" ca="1" si="68"/>
        <v>#NAME?</v>
      </c>
      <c r="P148" s="183" t="e">
        <f t="shared" ca="1" si="68"/>
        <v>#NAME?</v>
      </c>
      <c r="Q148" s="183" t="e">
        <f t="shared" ca="1" si="68"/>
        <v>#NAME?</v>
      </c>
      <c r="R148" s="183" t="e">
        <f t="shared" ca="1" si="68"/>
        <v>#NAME?</v>
      </c>
      <c r="S148" s="183" t="e">
        <f t="shared" ca="1" si="68"/>
        <v>#NAME?</v>
      </c>
      <c r="T148" s="183" t="e">
        <f t="shared" ca="1" si="68"/>
        <v>#NAME?</v>
      </c>
      <c r="U148" s="183" t="e">
        <f t="shared" ca="1" si="68"/>
        <v>#NAME?</v>
      </c>
      <c r="V148" s="183" t="e">
        <f t="shared" ca="1" si="68"/>
        <v>#NAME?</v>
      </c>
      <c r="W148" s="183" t="e">
        <f t="shared" ca="1" si="68"/>
        <v>#NAME?</v>
      </c>
      <c r="X148" s="183" t="e">
        <f t="shared" ca="1" si="68"/>
        <v>#NAME?</v>
      </c>
      <c r="Y148" s="183" t="e">
        <f t="shared" ca="1" si="68"/>
        <v>#NAME?</v>
      </c>
      <c r="Z148" s="247" t="e">
        <f ca="1">Z145-Z147</f>
        <v>#NAME?</v>
      </c>
    </row>
    <row r="149" spans="1:27" x14ac:dyDescent="0.2">
      <c r="A149" s="178" t="str">
        <f>Economics!A43</f>
        <v>Rio Grande 6</v>
      </c>
      <c r="B149" s="176">
        <f t="shared" ref="B149:Y149" si="69">B50</f>
        <v>27</v>
      </c>
      <c r="C149" s="176">
        <f t="shared" si="69"/>
        <v>28</v>
      </c>
      <c r="D149" s="176">
        <f t="shared" si="69"/>
        <v>28</v>
      </c>
      <c r="E149" s="176">
        <f>E50</f>
        <v>28</v>
      </c>
      <c r="F149" s="176">
        <f t="shared" si="69"/>
        <v>28</v>
      </c>
      <c r="G149" s="176">
        <f t="shared" si="69"/>
        <v>28</v>
      </c>
      <c r="H149" s="176">
        <f t="shared" si="69"/>
        <v>28</v>
      </c>
      <c r="I149" s="176">
        <f t="shared" si="69"/>
        <v>28</v>
      </c>
      <c r="J149" s="176">
        <f t="shared" si="69"/>
        <v>34</v>
      </c>
      <c r="K149" s="176">
        <f t="shared" si="69"/>
        <v>33</v>
      </c>
      <c r="L149" s="176">
        <f t="shared" si="69"/>
        <v>39</v>
      </c>
      <c r="M149" s="176">
        <f t="shared" si="69"/>
        <v>42</v>
      </c>
      <c r="N149" s="176">
        <f t="shared" si="69"/>
        <v>42</v>
      </c>
      <c r="O149" s="176">
        <f t="shared" si="69"/>
        <v>48</v>
      </c>
      <c r="P149" s="176">
        <f t="shared" si="69"/>
        <v>45</v>
      </c>
      <c r="Q149" s="176">
        <f t="shared" si="69"/>
        <v>45</v>
      </c>
      <c r="R149" s="176">
        <f t="shared" si="69"/>
        <v>45</v>
      </c>
      <c r="S149" s="176">
        <f t="shared" si="69"/>
        <v>45</v>
      </c>
      <c r="T149" s="176">
        <f t="shared" si="69"/>
        <v>45</v>
      </c>
      <c r="U149" s="176">
        <f t="shared" si="69"/>
        <v>45</v>
      </c>
      <c r="V149" s="176">
        <f t="shared" si="69"/>
        <v>45</v>
      </c>
      <c r="W149" s="176">
        <f t="shared" si="69"/>
        <v>45</v>
      </c>
      <c r="X149" s="176">
        <f t="shared" si="69"/>
        <v>45</v>
      </c>
      <c r="Y149" s="176">
        <f t="shared" si="69"/>
        <v>45</v>
      </c>
      <c r="Z149" s="207">
        <f>SUM(B149:Y149)</f>
        <v>911</v>
      </c>
      <c r="AA149" s="302" t="s">
        <v>179</v>
      </c>
    </row>
    <row r="150" spans="1:27" x14ac:dyDescent="0.2">
      <c r="A150" s="180">
        <f>Economics!$I43</f>
        <v>2.09</v>
      </c>
      <c r="B150" s="184" t="e">
        <f t="shared" ref="B150:Y150" ca="1" si="70">IndGencost(B149,OFFSET(HeatRateStart,1,MATCH($A149,HeatRateNames,0)-1,250,1),$A150)</f>
        <v>#NAME?</v>
      </c>
      <c r="C150" s="184" t="e">
        <f t="shared" ca="1" si="70"/>
        <v>#NAME?</v>
      </c>
      <c r="D150" s="184" t="e">
        <f t="shared" ca="1" si="70"/>
        <v>#NAME?</v>
      </c>
      <c r="E150" s="184" t="e">
        <f ca="1">IndGencost(E149,OFFSET(HeatRateStart,1,MATCH($A149,HeatRateNames,0)-1,250,1),$A150)</f>
        <v>#NAME?</v>
      </c>
      <c r="F150" s="184" t="e">
        <f t="shared" ca="1" si="70"/>
        <v>#NAME?</v>
      </c>
      <c r="G150" s="184" t="e">
        <f t="shared" ca="1" si="70"/>
        <v>#NAME?</v>
      </c>
      <c r="H150" s="184" t="e">
        <f t="shared" ca="1" si="70"/>
        <v>#NAME?</v>
      </c>
      <c r="I150" s="184" t="e">
        <f t="shared" ca="1" si="70"/>
        <v>#NAME?</v>
      </c>
      <c r="J150" s="184" t="e">
        <f t="shared" ca="1" si="70"/>
        <v>#NAME?</v>
      </c>
      <c r="K150" s="184" t="e">
        <f t="shared" ca="1" si="70"/>
        <v>#NAME?</v>
      </c>
      <c r="L150" s="184" t="e">
        <f t="shared" ca="1" si="70"/>
        <v>#NAME?</v>
      </c>
      <c r="M150" s="184" t="e">
        <f t="shared" ca="1" si="70"/>
        <v>#NAME?</v>
      </c>
      <c r="N150" s="184" t="e">
        <f t="shared" ca="1" si="70"/>
        <v>#NAME?</v>
      </c>
      <c r="O150" s="184" t="e">
        <f t="shared" ca="1" si="70"/>
        <v>#NAME?</v>
      </c>
      <c r="P150" s="184" t="e">
        <f t="shared" ca="1" si="70"/>
        <v>#NAME?</v>
      </c>
      <c r="Q150" s="184" t="e">
        <f t="shared" ca="1" si="70"/>
        <v>#NAME?</v>
      </c>
      <c r="R150" s="184" t="e">
        <f t="shared" ca="1" si="70"/>
        <v>#NAME?</v>
      </c>
      <c r="S150" s="184" t="e">
        <f t="shared" ca="1" si="70"/>
        <v>#NAME?</v>
      </c>
      <c r="T150" s="184" t="e">
        <f t="shared" ca="1" si="70"/>
        <v>#NAME?</v>
      </c>
      <c r="U150" s="184" t="e">
        <f t="shared" ca="1" si="70"/>
        <v>#NAME?</v>
      </c>
      <c r="V150" s="184" t="e">
        <f t="shared" ca="1" si="70"/>
        <v>#NAME?</v>
      </c>
      <c r="W150" s="184" t="e">
        <f t="shared" ca="1" si="70"/>
        <v>#NAME?</v>
      </c>
      <c r="X150" s="184" t="e">
        <f t="shared" ca="1" si="70"/>
        <v>#NAME?</v>
      </c>
      <c r="Y150" s="184" t="e">
        <f t="shared" ca="1" si="70"/>
        <v>#NAME?</v>
      </c>
      <c r="Z150" s="246" t="e">
        <f t="array" aca="1" ref="Z150" ca="1">SUM(B149:Y149*B150:Y150)</f>
        <v>#NAME?</v>
      </c>
      <c r="AA150" s="302" t="s">
        <v>168</v>
      </c>
    </row>
    <row r="151" spans="1:27" x14ac:dyDescent="0.2">
      <c r="A151" s="179" t="s">
        <v>180</v>
      </c>
      <c r="B151" s="181"/>
      <c r="C151" s="181"/>
      <c r="D151" s="181"/>
      <c r="E151" s="181"/>
      <c r="F151" s="181"/>
      <c r="G151" s="181"/>
      <c r="H151" s="181"/>
      <c r="I151" s="181"/>
      <c r="J151" s="181"/>
      <c r="K151" s="181"/>
      <c r="L151" s="181"/>
      <c r="M151" s="181"/>
      <c r="N151" s="181"/>
      <c r="O151" s="181"/>
      <c r="P151" s="181"/>
      <c r="Q151" s="181"/>
      <c r="R151" s="181"/>
      <c r="S151" s="181"/>
      <c r="T151" s="181"/>
      <c r="U151" s="181"/>
      <c r="V151" s="181"/>
      <c r="W151" s="181"/>
      <c r="X151" s="181"/>
      <c r="Y151" s="181"/>
      <c r="Z151" s="208">
        <f>SUM(B151:Y151)</f>
        <v>0</v>
      </c>
      <c r="AA151" s="248"/>
    </row>
    <row r="152" spans="1:27" x14ac:dyDescent="0.2">
      <c r="A152" s="177"/>
      <c r="B152" s="185" t="e">
        <f t="shared" ref="B152:Y152" ca="1" si="71">IndGencost(B151,OFFSET(HeatRateStart,1,MATCH($A149,HeatRateNames,0)-1,250,1),$A150)</f>
        <v>#NAME?</v>
      </c>
      <c r="C152" s="185" t="e">
        <f t="shared" ca="1" si="71"/>
        <v>#NAME?</v>
      </c>
      <c r="D152" s="185" t="e">
        <f t="shared" ca="1" si="71"/>
        <v>#NAME?</v>
      </c>
      <c r="E152" s="185" t="e">
        <f ca="1">IndGencost(E151,OFFSET(HeatRateStart,1,MATCH($A149,HeatRateNames,0)-1,250,1),$A150)</f>
        <v>#NAME?</v>
      </c>
      <c r="F152" s="185" t="e">
        <f t="shared" ca="1" si="71"/>
        <v>#NAME?</v>
      </c>
      <c r="G152" s="185" t="e">
        <f t="shared" ca="1" si="71"/>
        <v>#NAME?</v>
      </c>
      <c r="H152" s="185" t="e">
        <f t="shared" ca="1" si="71"/>
        <v>#NAME?</v>
      </c>
      <c r="I152" s="185" t="e">
        <f t="shared" ca="1" si="71"/>
        <v>#NAME?</v>
      </c>
      <c r="J152" s="185" t="e">
        <f t="shared" ca="1" si="71"/>
        <v>#NAME?</v>
      </c>
      <c r="K152" s="185" t="e">
        <f t="shared" ca="1" si="71"/>
        <v>#NAME?</v>
      </c>
      <c r="L152" s="185" t="e">
        <f t="shared" ca="1" si="71"/>
        <v>#NAME?</v>
      </c>
      <c r="M152" s="185" t="e">
        <f t="shared" ca="1" si="71"/>
        <v>#NAME?</v>
      </c>
      <c r="N152" s="185" t="e">
        <f t="shared" ca="1" si="71"/>
        <v>#NAME?</v>
      </c>
      <c r="O152" s="185" t="e">
        <f t="shared" ca="1" si="71"/>
        <v>#NAME?</v>
      </c>
      <c r="P152" s="185" t="e">
        <f t="shared" ca="1" si="71"/>
        <v>#NAME?</v>
      </c>
      <c r="Q152" s="185" t="e">
        <f t="shared" ca="1" si="71"/>
        <v>#NAME?</v>
      </c>
      <c r="R152" s="185" t="e">
        <f t="shared" ca="1" si="71"/>
        <v>#NAME?</v>
      </c>
      <c r="S152" s="185" t="e">
        <f t="shared" ca="1" si="71"/>
        <v>#NAME?</v>
      </c>
      <c r="T152" s="185" t="e">
        <f t="shared" ca="1" si="71"/>
        <v>#NAME?</v>
      </c>
      <c r="U152" s="185" t="e">
        <f t="shared" ca="1" si="71"/>
        <v>#NAME?</v>
      </c>
      <c r="V152" s="185" t="e">
        <f t="shared" ca="1" si="71"/>
        <v>#NAME?</v>
      </c>
      <c r="W152" s="185" t="e">
        <f t="shared" ca="1" si="71"/>
        <v>#NAME?</v>
      </c>
      <c r="X152" s="185" t="e">
        <f t="shared" ca="1" si="71"/>
        <v>#NAME?</v>
      </c>
      <c r="Y152" s="185" t="e">
        <f t="shared" ca="1" si="71"/>
        <v>#NAME?</v>
      </c>
      <c r="Z152" s="245" t="e">
        <f t="array" aca="1" ref="Z152" ca="1">SUM(B151:Y151*B152:Y152)</f>
        <v>#NAME?</v>
      </c>
      <c r="AA152" s="248"/>
    </row>
    <row r="153" spans="1:27" ht="13.5" thickBot="1" x14ac:dyDescent="0.25">
      <c r="A153" s="182" t="s">
        <v>166</v>
      </c>
      <c r="B153" s="183" t="e">
        <f t="shared" ref="B153:Y153" ca="1" si="72">B152-B150</f>
        <v>#NAME?</v>
      </c>
      <c r="C153" s="183" t="e">
        <f t="shared" ca="1" si="72"/>
        <v>#NAME?</v>
      </c>
      <c r="D153" s="183" t="e">
        <f t="shared" ca="1" si="72"/>
        <v>#NAME?</v>
      </c>
      <c r="E153" s="183" t="e">
        <f t="shared" ca="1" si="72"/>
        <v>#NAME?</v>
      </c>
      <c r="F153" s="183" t="e">
        <f t="shared" ca="1" si="72"/>
        <v>#NAME?</v>
      </c>
      <c r="G153" s="183" t="e">
        <f t="shared" ca="1" si="72"/>
        <v>#NAME?</v>
      </c>
      <c r="H153" s="183" t="e">
        <f t="shared" ca="1" si="72"/>
        <v>#NAME?</v>
      </c>
      <c r="I153" s="183" t="e">
        <f t="shared" ca="1" si="72"/>
        <v>#NAME?</v>
      </c>
      <c r="J153" s="183" t="e">
        <f t="shared" ca="1" si="72"/>
        <v>#NAME?</v>
      </c>
      <c r="K153" s="183" t="e">
        <f t="shared" ca="1" si="72"/>
        <v>#NAME?</v>
      </c>
      <c r="L153" s="183" t="e">
        <f t="shared" ca="1" si="72"/>
        <v>#NAME?</v>
      </c>
      <c r="M153" s="183" t="e">
        <f t="shared" ca="1" si="72"/>
        <v>#NAME?</v>
      </c>
      <c r="N153" s="183" t="e">
        <f t="shared" ca="1" si="72"/>
        <v>#NAME?</v>
      </c>
      <c r="O153" s="183" t="e">
        <f t="shared" ca="1" si="72"/>
        <v>#NAME?</v>
      </c>
      <c r="P153" s="183" t="e">
        <f t="shared" ca="1" si="72"/>
        <v>#NAME?</v>
      </c>
      <c r="Q153" s="183" t="e">
        <f t="shared" ca="1" si="72"/>
        <v>#NAME?</v>
      </c>
      <c r="R153" s="183" t="e">
        <f t="shared" ca="1" si="72"/>
        <v>#NAME?</v>
      </c>
      <c r="S153" s="183" t="e">
        <f t="shared" ca="1" si="72"/>
        <v>#NAME?</v>
      </c>
      <c r="T153" s="183" t="e">
        <f t="shared" ca="1" si="72"/>
        <v>#NAME?</v>
      </c>
      <c r="U153" s="183" t="e">
        <f t="shared" ca="1" si="72"/>
        <v>#NAME?</v>
      </c>
      <c r="V153" s="183" t="e">
        <f t="shared" ca="1" si="72"/>
        <v>#NAME?</v>
      </c>
      <c r="W153" s="183" t="e">
        <f t="shared" ca="1" si="72"/>
        <v>#NAME?</v>
      </c>
      <c r="X153" s="183" t="e">
        <f t="shared" ca="1" si="72"/>
        <v>#NAME?</v>
      </c>
      <c r="Y153" s="183" t="e">
        <f t="shared" ca="1" si="72"/>
        <v>#NAME?</v>
      </c>
      <c r="Z153" s="247" t="e">
        <f ca="1">Z150-Z152</f>
        <v>#NAME?</v>
      </c>
    </row>
    <row r="154" spans="1:27" x14ac:dyDescent="0.2">
      <c r="A154" s="178" t="str">
        <f>Economics!A44</f>
        <v>Rio Grande 7</v>
      </c>
      <c r="B154" s="176">
        <f t="shared" ref="B154:Y154" si="73">B51</f>
        <v>27</v>
      </c>
      <c r="C154" s="176">
        <f t="shared" si="73"/>
        <v>28</v>
      </c>
      <c r="D154" s="176">
        <f t="shared" si="73"/>
        <v>28</v>
      </c>
      <c r="E154" s="176">
        <f>E51</f>
        <v>28</v>
      </c>
      <c r="F154" s="176">
        <f t="shared" si="73"/>
        <v>28</v>
      </c>
      <c r="G154" s="176">
        <f t="shared" si="73"/>
        <v>28</v>
      </c>
      <c r="H154" s="176">
        <f t="shared" si="73"/>
        <v>28</v>
      </c>
      <c r="I154" s="176">
        <f t="shared" si="73"/>
        <v>28</v>
      </c>
      <c r="J154" s="176">
        <f t="shared" si="73"/>
        <v>35</v>
      </c>
      <c r="K154" s="176">
        <f t="shared" si="73"/>
        <v>40</v>
      </c>
      <c r="L154" s="176">
        <f t="shared" si="73"/>
        <v>39</v>
      </c>
      <c r="M154" s="176">
        <f t="shared" si="73"/>
        <v>40</v>
      </c>
      <c r="N154" s="176">
        <f t="shared" si="73"/>
        <v>40</v>
      </c>
      <c r="O154" s="176">
        <f t="shared" si="73"/>
        <v>40</v>
      </c>
      <c r="P154" s="176">
        <f t="shared" si="73"/>
        <v>37</v>
      </c>
      <c r="Q154" s="176">
        <f t="shared" si="73"/>
        <v>37</v>
      </c>
      <c r="R154" s="176">
        <f t="shared" si="73"/>
        <v>37</v>
      </c>
      <c r="S154" s="176">
        <f t="shared" si="73"/>
        <v>37</v>
      </c>
      <c r="T154" s="176">
        <f t="shared" si="73"/>
        <v>38</v>
      </c>
      <c r="U154" s="176">
        <f t="shared" si="73"/>
        <v>38</v>
      </c>
      <c r="V154" s="176">
        <f t="shared" si="73"/>
        <v>38</v>
      </c>
      <c r="W154" s="176">
        <f t="shared" si="73"/>
        <v>38</v>
      </c>
      <c r="X154" s="176">
        <f t="shared" si="73"/>
        <v>38</v>
      </c>
      <c r="Y154" s="176">
        <f t="shared" si="73"/>
        <v>38</v>
      </c>
      <c r="Z154" s="207">
        <f>SUM(B154:Y154)</f>
        <v>833</v>
      </c>
      <c r="AA154" s="302" t="s">
        <v>179</v>
      </c>
    </row>
    <row r="155" spans="1:27" x14ac:dyDescent="0.2">
      <c r="A155" s="180">
        <f>Economics!$I44</f>
        <v>2.09</v>
      </c>
      <c r="B155" s="184" t="e">
        <f t="shared" ref="B155:Y155" ca="1" si="74">IndGencost(B154,OFFSET(HeatRateStart,1,MATCH($A154,HeatRateNames,0)-1,250,1),$A155)</f>
        <v>#NAME?</v>
      </c>
      <c r="C155" s="184" t="e">
        <f t="shared" ca="1" si="74"/>
        <v>#NAME?</v>
      </c>
      <c r="D155" s="184" t="e">
        <f t="shared" ca="1" si="74"/>
        <v>#NAME?</v>
      </c>
      <c r="E155" s="184" t="e">
        <f ca="1">IndGencost(E154,OFFSET(HeatRateStart,1,MATCH($A154,HeatRateNames,0)-1,250,1),$A155)</f>
        <v>#NAME?</v>
      </c>
      <c r="F155" s="184" t="e">
        <f t="shared" ca="1" si="74"/>
        <v>#NAME?</v>
      </c>
      <c r="G155" s="184" t="e">
        <f t="shared" ca="1" si="74"/>
        <v>#NAME?</v>
      </c>
      <c r="H155" s="184" t="e">
        <f t="shared" ca="1" si="74"/>
        <v>#NAME?</v>
      </c>
      <c r="I155" s="184" t="e">
        <f t="shared" ca="1" si="74"/>
        <v>#NAME?</v>
      </c>
      <c r="J155" s="184" t="e">
        <f t="shared" ca="1" si="74"/>
        <v>#NAME?</v>
      </c>
      <c r="K155" s="184" t="e">
        <f t="shared" ca="1" si="74"/>
        <v>#NAME?</v>
      </c>
      <c r="L155" s="184" t="e">
        <f t="shared" ca="1" si="74"/>
        <v>#NAME?</v>
      </c>
      <c r="M155" s="184" t="e">
        <f t="shared" ca="1" si="74"/>
        <v>#NAME?</v>
      </c>
      <c r="N155" s="184" t="e">
        <f t="shared" ca="1" si="74"/>
        <v>#NAME?</v>
      </c>
      <c r="O155" s="184" t="e">
        <f t="shared" ca="1" si="74"/>
        <v>#NAME?</v>
      </c>
      <c r="P155" s="184" t="e">
        <f t="shared" ca="1" si="74"/>
        <v>#NAME?</v>
      </c>
      <c r="Q155" s="184" t="e">
        <f t="shared" ca="1" si="74"/>
        <v>#NAME?</v>
      </c>
      <c r="R155" s="184" t="e">
        <f t="shared" ca="1" si="74"/>
        <v>#NAME?</v>
      </c>
      <c r="S155" s="184" t="e">
        <f t="shared" ca="1" si="74"/>
        <v>#NAME?</v>
      </c>
      <c r="T155" s="184" t="e">
        <f t="shared" ca="1" si="74"/>
        <v>#NAME?</v>
      </c>
      <c r="U155" s="184" t="e">
        <f t="shared" ca="1" si="74"/>
        <v>#NAME?</v>
      </c>
      <c r="V155" s="184" t="e">
        <f t="shared" ca="1" si="74"/>
        <v>#NAME?</v>
      </c>
      <c r="W155" s="184" t="e">
        <f t="shared" ca="1" si="74"/>
        <v>#NAME?</v>
      </c>
      <c r="X155" s="184" t="e">
        <f t="shared" ca="1" si="74"/>
        <v>#NAME?</v>
      </c>
      <c r="Y155" s="184" t="e">
        <f t="shared" ca="1" si="74"/>
        <v>#NAME?</v>
      </c>
      <c r="Z155" s="246" t="e">
        <f t="array" aca="1" ref="Z155" ca="1">SUM(B154:Y154*B155:Y155)</f>
        <v>#NAME?</v>
      </c>
      <c r="AA155" s="302" t="s">
        <v>168</v>
      </c>
    </row>
    <row r="156" spans="1:27" x14ac:dyDescent="0.2">
      <c r="A156" s="179" t="s">
        <v>181</v>
      </c>
      <c r="B156" s="181">
        <v>0</v>
      </c>
      <c r="C156" s="181">
        <v>0</v>
      </c>
      <c r="D156" s="181">
        <v>0</v>
      </c>
      <c r="E156" s="181">
        <v>0</v>
      </c>
      <c r="F156" s="181">
        <v>0</v>
      </c>
      <c r="G156" s="181">
        <v>0</v>
      </c>
      <c r="H156" s="181">
        <v>0</v>
      </c>
      <c r="I156" s="181">
        <v>0</v>
      </c>
      <c r="J156" s="181">
        <v>0</v>
      </c>
      <c r="K156" s="181">
        <v>0</v>
      </c>
      <c r="L156" s="181">
        <v>0</v>
      </c>
      <c r="M156" s="181">
        <v>0</v>
      </c>
      <c r="N156" s="181">
        <v>0</v>
      </c>
      <c r="O156" s="181">
        <v>0</v>
      </c>
      <c r="P156" s="181">
        <v>0</v>
      </c>
      <c r="Q156" s="181">
        <v>0</v>
      </c>
      <c r="R156" s="181">
        <v>0</v>
      </c>
      <c r="S156" s="181">
        <v>0</v>
      </c>
      <c r="T156" s="181">
        <v>0</v>
      </c>
      <c r="U156" s="181">
        <v>0</v>
      </c>
      <c r="V156" s="181">
        <v>0</v>
      </c>
      <c r="W156" s="181">
        <v>0</v>
      </c>
      <c r="X156" s="181">
        <v>0</v>
      </c>
      <c r="Y156" s="181">
        <v>0</v>
      </c>
      <c r="Z156" s="208">
        <f>SUM(B156:Y156)</f>
        <v>0</v>
      </c>
      <c r="AA156" s="248"/>
    </row>
    <row r="157" spans="1:27" x14ac:dyDescent="0.2">
      <c r="A157" s="177"/>
      <c r="B157" s="185" t="e">
        <f t="shared" ref="B157:Y157" ca="1" si="75">IndGencost(B156,OFFSET(HeatRateStart,1,MATCH($A154,HeatRateNames,0)-1,250,1),$A155)</f>
        <v>#NAME?</v>
      </c>
      <c r="C157" s="185" t="e">
        <f t="shared" ca="1" si="75"/>
        <v>#NAME?</v>
      </c>
      <c r="D157" s="185" t="e">
        <f t="shared" ca="1" si="75"/>
        <v>#NAME?</v>
      </c>
      <c r="E157" s="185" t="e">
        <f ca="1">IndGencost(E156,OFFSET(HeatRateStart,1,MATCH($A154,HeatRateNames,0)-1,250,1),$A155)</f>
        <v>#NAME?</v>
      </c>
      <c r="F157" s="185" t="e">
        <f t="shared" ca="1" si="75"/>
        <v>#NAME?</v>
      </c>
      <c r="G157" s="185" t="e">
        <f t="shared" ca="1" si="75"/>
        <v>#NAME?</v>
      </c>
      <c r="H157" s="185" t="e">
        <f t="shared" ca="1" si="75"/>
        <v>#NAME?</v>
      </c>
      <c r="I157" s="185" t="e">
        <f t="shared" ca="1" si="75"/>
        <v>#NAME?</v>
      </c>
      <c r="J157" s="185" t="e">
        <f t="shared" ca="1" si="75"/>
        <v>#NAME?</v>
      </c>
      <c r="K157" s="185" t="e">
        <f t="shared" ca="1" si="75"/>
        <v>#NAME?</v>
      </c>
      <c r="L157" s="185" t="e">
        <f t="shared" ca="1" si="75"/>
        <v>#NAME?</v>
      </c>
      <c r="M157" s="185" t="e">
        <f t="shared" ca="1" si="75"/>
        <v>#NAME?</v>
      </c>
      <c r="N157" s="185" t="e">
        <f t="shared" ca="1" si="75"/>
        <v>#NAME?</v>
      </c>
      <c r="O157" s="185" t="e">
        <f t="shared" ca="1" si="75"/>
        <v>#NAME?</v>
      </c>
      <c r="P157" s="185" t="e">
        <f t="shared" ca="1" si="75"/>
        <v>#NAME?</v>
      </c>
      <c r="Q157" s="185" t="e">
        <f t="shared" ca="1" si="75"/>
        <v>#NAME?</v>
      </c>
      <c r="R157" s="185" t="e">
        <f t="shared" ca="1" si="75"/>
        <v>#NAME?</v>
      </c>
      <c r="S157" s="185" t="e">
        <f t="shared" ca="1" si="75"/>
        <v>#NAME?</v>
      </c>
      <c r="T157" s="185" t="e">
        <f t="shared" ca="1" si="75"/>
        <v>#NAME?</v>
      </c>
      <c r="U157" s="185" t="e">
        <f t="shared" ca="1" si="75"/>
        <v>#NAME?</v>
      </c>
      <c r="V157" s="185" t="e">
        <f t="shared" ca="1" si="75"/>
        <v>#NAME?</v>
      </c>
      <c r="W157" s="185" t="e">
        <f t="shared" ca="1" si="75"/>
        <v>#NAME?</v>
      </c>
      <c r="X157" s="185" t="e">
        <f t="shared" ca="1" si="75"/>
        <v>#NAME?</v>
      </c>
      <c r="Y157" s="185" t="e">
        <f t="shared" ca="1" si="75"/>
        <v>#NAME?</v>
      </c>
      <c r="Z157" s="245" t="e">
        <f t="array" aca="1" ref="Z157" ca="1">SUM(B156:Y156*B157:Y157)</f>
        <v>#NAME?</v>
      </c>
    </row>
    <row r="158" spans="1:27" ht="13.5" thickBot="1" x14ac:dyDescent="0.25">
      <c r="A158" s="182" t="s">
        <v>166</v>
      </c>
      <c r="B158" s="183" t="e">
        <f t="shared" ref="B158:Y158" ca="1" si="76">B157-B155</f>
        <v>#NAME?</v>
      </c>
      <c r="C158" s="183" t="e">
        <f t="shared" ca="1" si="76"/>
        <v>#NAME?</v>
      </c>
      <c r="D158" s="183" t="e">
        <f t="shared" ca="1" si="76"/>
        <v>#NAME?</v>
      </c>
      <c r="E158" s="183" t="e">
        <f t="shared" ca="1" si="76"/>
        <v>#NAME?</v>
      </c>
      <c r="F158" s="183" t="e">
        <f t="shared" ca="1" si="76"/>
        <v>#NAME?</v>
      </c>
      <c r="G158" s="183" t="e">
        <f t="shared" ca="1" si="76"/>
        <v>#NAME?</v>
      </c>
      <c r="H158" s="183" t="e">
        <f t="shared" ca="1" si="76"/>
        <v>#NAME?</v>
      </c>
      <c r="I158" s="183" t="e">
        <f t="shared" ca="1" si="76"/>
        <v>#NAME?</v>
      </c>
      <c r="J158" s="183" t="e">
        <f t="shared" ca="1" si="76"/>
        <v>#NAME?</v>
      </c>
      <c r="K158" s="183" t="e">
        <f t="shared" ca="1" si="76"/>
        <v>#NAME?</v>
      </c>
      <c r="L158" s="183" t="e">
        <f t="shared" ca="1" si="76"/>
        <v>#NAME?</v>
      </c>
      <c r="M158" s="183" t="e">
        <f t="shared" ca="1" si="76"/>
        <v>#NAME?</v>
      </c>
      <c r="N158" s="183" t="e">
        <f t="shared" ca="1" si="76"/>
        <v>#NAME?</v>
      </c>
      <c r="O158" s="183" t="e">
        <f t="shared" ca="1" si="76"/>
        <v>#NAME?</v>
      </c>
      <c r="P158" s="183" t="e">
        <f t="shared" ca="1" si="76"/>
        <v>#NAME?</v>
      </c>
      <c r="Q158" s="183" t="e">
        <f t="shared" ca="1" si="76"/>
        <v>#NAME?</v>
      </c>
      <c r="R158" s="183" t="e">
        <f t="shared" ca="1" si="76"/>
        <v>#NAME?</v>
      </c>
      <c r="S158" s="183" t="e">
        <f t="shared" ca="1" si="76"/>
        <v>#NAME?</v>
      </c>
      <c r="T158" s="183" t="e">
        <f t="shared" ca="1" si="76"/>
        <v>#NAME?</v>
      </c>
      <c r="U158" s="183" t="e">
        <f t="shared" ca="1" si="76"/>
        <v>#NAME?</v>
      </c>
      <c r="V158" s="183" t="e">
        <f t="shared" ca="1" si="76"/>
        <v>#NAME?</v>
      </c>
      <c r="W158" s="183" t="e">
        <f t="shared" ca="1" si="76"/>
        <v>#NAME?</v>
      </c>
      <c r="X158" s="183" t="e">
        <f t="shared" ca="1" si="76"/>
        <v>#NAME?</v>
      </c>
      <c r="Y158" s="183" t="e">
        <f t="shared" ca="1" si="76"/>
        <v>#NAME?</v>
      </c>
      <c r="Z158" s="247" t="e">
        <f ca="1">Z155-Z157</f>
        <v>#NAME?</v>
      </c>
    </row>
    <row r="159" spans="1:27" x14ac:dyDescent="0.2">
      <c r="A159" s="178" t="str">
        <f>Economics!A45</f>
        <v>Rio Grande 8</v>
      </c>
      <c r="B159" s="176">
        <f t="shared" ref="B159:Y159" si="77">B52</f>
        <v>0</v>
      </c>
      <c r="C159" s="176">
        <f t="shared" si="77"/>
        <v>0</v>
      </c>
      <c r="D159" s="176">
        <f t="shared" si="77"/>
        <v>0</v>
      </c>
      <c r="E159" s="176">
        <f>E52</f>
        <v>0</v>
      </c>
      <c r="F159" s="176">
        <f t="shared" si="77"/>
        <v>0</v>
      </c>
      <c r="G159" s="176">
        <f t="shared" si="77"/>
        <v>0</v>
      </c>
      <c r="H159" s="176">
        <f t="shared" si="77"/>
        <v>0</v>
      </c>
      <c r="I159" s="176">
        <f t="shared" si="77"/>
        <v>0</v>
      </c>
      <c r="J159" s="176">
        <f t="shared" si="77"/>
        <v>0</v>
      </c>
      <c r="K159" s="176">
        <f t="shared" si="77"/>
        <v>0</v>
      </c>
      <c r="L159" s="176">
        <f t="shared" si="77"/>
        <v>0</v>
      </c>
      <c r="M159" s="176">
        <f t="shared" si="77"/>
        <v>0</v>
      </c>
      <c r="N159" s="176">
        <f t="shared" si="77"/>
        <v>0</v>
      </c>
      <c r="O159" s="176">
        <f t="shared" si="77"/>
        <v>0</v>
      </c>
      <c r="P159" s="176">
        <f t="shared" si="77"/>
        <v>0</v>
      </c>
      <c r="Q159" s="176">
        <f t="shared" si="77"/>
        <v>0</v>
      </c>
      <c r="R159" s="176">
        <f t="shared" si="77"/>
        <v>0</v>
      </c>
      <c r="S159" s="176">
        <f t="shared" si="77"/>
        <v>0</v>
      </c>
      <c r="T159" s="176">
        <f t="shared" si="77"/>
        <v>0</v>
      </c>
      <c r="U159" s="176">
        <f t="shared" si="77"/>
        <v>0</v>
      </c>
      <c r="V159" s="176">
        <f t="shared" si="77"/>
        <v>0</v>
      </c>
      <c r="W159" s="176">
        <f t="shared" si="77"/>
        <v>0</v>
      </c>
      <c r="X159" s="176">
        <f t="shared" si="77"/>
        <v>0</v>
      </c>
      <c r="Y159" s="176">
        <f t="shared" si="77"/>
        <v>0</v>
      </c>
      <c r="Z159" s="207">
        <f>SUM(B159:Y159)</f>
        <v>0</v>
      </c>
      <c r="AA159" s="302" t="s">
        <v>179</v>
      </c>
    </row>
    <row r="160" spans="1:27" x14ac:dyDescent="0.2">
      <c r="A160" s="180">
        <f>Economics!$I45</f>
        <v>2.09</v>
      </c>
      <c r="B160" s="184" t="e">
        <f t="shared" ref="B160:Y160" ca="1" si="78">IndGencost(B159,OFFSET(HeatRateStart,1,MATCH($A159,HeatRateNames,0)-1,250,1),$A160)</f>
        <v>#NAME?</v>
      </c>
      <c r="C160" s="184" t="e">
        <f t="shared" ca="1" si="78"/>
        <v>#NAME?</v>
      </c>
      <c r="D160" s="184" t="e">
        <f t="shared" ca="1" si="78"/>
        <v>#NAME?</v>
      </c>
      <c r="E160" s="184" t="e">
        <f ca="1">IndGencost(E159,OFFSET(HeatRateStart,1,MATCH($A159,HeatRateNames,0)-1,250,1),$A160)</f>
        <v>#NAME?</v>
      </c>
      <c r="F160" s="184" t="e">
        <f t="shared" ca="1" si="78"/>
        <v>#NAME?</v>
      </c>
      <c r="G160" s="184" t="e">
        <f t="shared" ca="1" si="78"/>
        <v>#NAME?</v>
      </c>
      <c r="H160" s="184" t="e">
        <f t="shared" ca="1" si="78"/>
        <v>#NAME?</v>
      </c>
      <c r="I160" s="184" t="e">
        <f t="shared" ca="1" si="78"/>
        <v>#NAME?</v>
      </c>
      <c r="J160" s="184" t="e">
        <f t="shared" ca="1" si="78"/>
        <v>#NAME?</v>
      </c>
      <c r="K160" s="184" t="e">
        <f t="shared" ca="1" si="78"/>
        <v>#NAME?</v>
      </c>
      <c r="L160" s="184" t="e">
        <f t="shared" ca="1" si="78"/>
        <v>#NAME?</v>
      </c>
      <c r="M160" s="184" t="e">
        <f t="shared" ca="1" si="78"/>
        <v>#NAME?</v>
      </c>
      <c r="N160" s="184" t="e">
        <f t="shared" ca="1" si="78"/>
        <v>#NAME?</v>
      </c>
      <c r="O160" s="184" t="e">
        <f t="shared" ca="1" si="78"/>
        <v>#NAME?</v>
      </c>
      <c r="P160" s="184" t="e">
        <f t="shared" ca="1" si="78"/>
        <v>#NAME?</v>
      </c>
      <c r="Q160" s="184" t="e">
        <f t="shared" ca="1" si="78"/>
        <v>#NAME?</v>
      </c>
      <c r="R160" s="184" t="e">
        <f t="shared" ca="1" si="78"/>
        <v>#NAME?</v>
      </c>
      <c r="S160" s="184" t="e">
        <f t="shared" ca="1" si="78"/>
        <v>#NAME?</v>
      </c>
      <c r="T160" s="184" t="e">
        <f t="shared" ca="1" si="78"/>
        <v>#NAME?</v>
      </c>
      <c r="U160" s="184" t="e">
        <f t="shared" ca="1" si="78"/>
        <v>#NAME?</v>
      </c>
      <c r="V160" s="184" t="e">
        <f t="shared" ca="1" si="78"/>
        <v>#NAME?</v>
      </c>
      <c r="W160" s="184" t="e">
        <f t="shared" ca="1" si="78"/>
        <v>#NAME?</v>
      </c>
      <c r="X160" s="184" t="e">
        <f t="shared" ca="1" si="78"/>
        <v>#NAME?</v>
      </c>
      <c r="Y160" s="184" t="e">
        <f t="shared" ca="1" si="78"/>
        <v>#NAME?</v>
      </c>
      <c r="Z160" s="246" t="e">
        <f t="array" aca="1" ref="Z160" ca="1">SUM(B159:Y159*B160:Y160)</f>
        <v>#NAME?</v>
      </c>
      <c r="AA160" s="302" t="s">
        <v>168</v>
      </c>
    </row>
    <row r="161" spans="1:27" x14ac:dyDescent="0.2">
      <c r="A161" s="179" t="s">
        <v>182</v>
      </c>
      <c r="B161" s="181">
        <v>56</v>
      </c>
      <c r="C161" s="181">
        <v>56</v>
      </c>
      <c r="D161" s="181">
        <v>56</v>
      </c>
      <c r="E161" s="181">
        <v>56</v>
      </c>
      <c r="F161" s="181">
        <v>65</v>
      </c>
      <c r="G161" s="181">
        <v>75</v>
      </c>
      <c r="H161" s="181">
        <v>56</v>
      </c>
      <c r="I161" s="181">
        <v>56</v>
      </c>
      <c r="J161" s="181">
        <v>56</v>
      </c>
      <c r="K161" s="181">
        <v>56</v>
      </c>
      <c r="L161" s="181">
        <v>56</v>
      </c>
      <c r="M161" s="181">
        <v>56</v>
      </c>
      <c r="N161" s="181">
        <v>56</v>
      </c>
      <c r="O161" s="181">
        <v>56</v>
      </c>
      <c r="P161" s="181">
        <v>56</v>
      </c>
      <c r="Q161" s="181">
        <v>56</v>
      </c>
      <c r="R161" s="181">
        <v>56</v>
      </c>
      <c r="S161" s="181">
        <v>56</v>
      </c>
      <c r="T161" s="181">
        <v>85</v>
      </c>
      <c r="U161" s="181">
        <v>110</v>
      </c>
      <c r="V161" s="181">
        <v>90</v>
      </c>
      <c r="W161" s="181">
        <v>65</v>
      </c>
      <c r="X161" s="181">
        <v>56</v>
      </c>
      <c r="Y161" s="181">
        <v>56</v>
      </c>
      <c r="Z161" s="208">
        <f>SUM(B161:Y161)</f>
        <v>1498</v>
      </c>
      <c r="AA161" s="248"/>
    </row>
    <row r="162" spans="1:27" x14ac:dyDescent="0.2">
      <c r="A162" s="177"/>
      <c r="B162" s="185" t="e">
        <f t="shared" ref="B162:Y162" ca="1" si="79">IndGencost(B161,OFFSET(HeatRateStart,1,MATCH($A159,HeatRateNames,0)-1,250,1),$A160)</f>
        <v>#NAME?</v>
      </c>
      <c r="C162" s="185" t="e">
        <f t="shared" ca="1" si="79"/>
        <v>#NAME?</v>
      </c>
      <c r="D162" s="185" t="e">
        <f t="shared" ca="1" si="79"/>
        <v>#NAME?</v>
      </c>
      <c r="E162" s="185" t="e">
        <f ca="1">IndGencost(E161,OFFSET(HeatRateStart,1,MATCH($A159,HeatRateNames,0)-1,250,1),$A160)</f>
        <v>#NAME?</v>
      </c>
      <c r="F162" s="185" t="e">
        <f t="shared" ca="1" si="79"/>
        <v>#NAME?</v>
      </c>
      <c r="G162" s="185" t="e">
        <f t="shared" ca="1" si="79"/>
        <v>#NAME?</v>
      </c>
      <c r="H162" s="185" t="e">
        <f t="shared" ca="1" si="79"/>
        <v>#NAME?</v>
      </c>
      <c r="I162" s="185" t="e">
        <f t="shared" ca="1" si="79"/>
        <v>#NAME?</v>
      </c>
      <c r="J162" s="185" t="e">
        <f t="shared" ca="1" si="79"/>
        <v>#NAME?</v>
      </c>
      <c r="K162" s="185" t="e">
        <f t="shared" ca="1" si="79"/>
        <v>#NAME?</v>
      </c>
      <c r="L162" s="185" t="e">
        <f t="shared" ca="1" si="79"/>
        <v>#NAME?</v>
      </c>
      <c r="M162" s="185" t="e">
        <f t="shared" ca="1" si="79"/>
        <v>#NAME?</v>
      </c>
      <c r="N162" s="185" t="e">
        <f t="shared" ca="1" si="79"/>
        <v>#NAME?</v>
      </c>
      <c r="O162" s="185" t="e">
        <f t="shared" ca="1" si="79"/>
        <v>#NAME?</v>
      </c>
      <c r="P162" s="185" t="e">
        <f t="shared" ca="1" si="79"/>
        <v>#NAME?</v>
      </c>
      <c r="Q162" s="185" t="e">
        <f t="shared" ca="1" si="79"/>
        <v>#NAME?</v>
      </c>
      <c r="R162" s="185" t="e">
        <f t="shared" ca="1" si="79"/>
        <v>#NAME?</v>
      </c>
      <c r="S162" s="185" t="e">
        <f t="shared" ca="1" si="79"/>
        <v>#NAME?</v>
      </c>
      <c r="T162" s="185" t="e">
        <f t="shared" ca="1" si="79"/>
        <v>#NAME?</v>
      </c>
      <c r="U162" s="185" t="e">
        <f t="shared" ca="1" si="79"/>
        <v>#NAME?</v>
      </c>
      <c r="V162" s="185" t="e">
        <f t="shared" ca="1" si="79"/>
        <v>#NAME?</v>
      </c>
      <c r="W162" s="185" t="e">
        <f t="shared" ca="1" si="79"/>
        <v>#NAME?</v>
      </c>
      <c r="X162" s="185" t="e">
        <f t="shared" ca="1" si="79"/>
        <v>#NAME?</v>
      </c>
      <c r="Y162" s="185" t="e">
        <f t="shared" ca="1" si="79"/>
        <v>#NAME?</v>
      </c>
      <c r="Z162" s="245" t="e">
        <f t="array" aca="1" ref="Z162" ca="1">SUM(B161:Y161*B162:Y162)</f>
        <v>#NAME?</v>
      </c>
    </row>
    <row r="163" spans="1:27" ht="13.5" thickBot="1" x14ac:dyDescent="0.25">
      <c r="A163" s="182" t="s">
        <v>166</v>
      </c>
      <c r="B163" s="183" t="e">
        <f t="shared" ref="B163:Y163" ca="1" si="80">B162-B160</f>
        <v>#NAME?</v>
      </c>
      <c r="C163" s="183" t="e">
        <f t="shared" ca="1" si="80"/>
        <v>#NAME?</v>
      </c>
      <c r="D163" s="183" t="e">
        <f t="shared" ca="1" si="80"/>
        <v>#NAME?</v>
      </c>
      <c r="E163" s="183" t="e">
        <f t="shared" ca="1" si="80"/>
        <v>#NAME?</v>
      </c>
      <c r="F163" s="183" t="e">
        <f t="shared" ca="1" si="80"/>
        <v>#NAME?</v>
      </c>
      <c r="G163" s="183" t="e">
        <f t="shared" ca="1" si="80"/>
        <v>#NAME?</v>
      </c>
      <c r="H163" s="183" t="e">
        <f t="shared" ca="1" si="80"/>
        <v>#NAME?</v>
      </c>
      <c r="I163" s="183" t="e">
        <f t="shared" ca="1" si="80"/>
        <v>#NAME?</v>
      </c>
      <c r="J163" s="183" t="e">
        <f t="shared" ca="1" si="80"/>
        <v>#NAME?</v>
      </c>
      <c r="K163" s="183" t="e">
        <f t="shared" ca="1" si="80"/>
        <v>#NAME?</v>
      </c>
      <c r="L163" s="183" t="e">
        <f t="shared" ca="1" si="80"/>
        <v>#NAME?</v>
      </c>
      <c r="M163" s="183" t="e">
        <f t="shared" ca="1" si="80"/>
        <v>#NAME?</v>
      </c>
      <c r="N163" s="183" t="e">
        <f t="shared" ca="1" si="80"/>
        <v>#NAME?</v>
      </c>
      <c r="O163" s="183" t="e">
        <f t="shared" ca="1" si="80"/>
        <v>#NAME?</v>
      </c>
      <c r="P163" s="183" t="e">
        <f t="shared" ca="1" si="80"/>
        <v>#NAME?</v>
      </c>
      <c r="Q163" s="183" t="e">
        <f t="shared" ca="1" si="80"/>
        <v>#NAME?</v>
      </c>
      <c r="R163" s="183" t="e">
        <f t="shared" ca="1" si="80"/>
        <v>#NAME?</v>
      </c>
      <c r="S163" s="183" t="e">
        <f t="shared" ca="1" si="80"/>
        <v>#NAME?</v>
      </c>
      <c r="T163" s="183" t="e">
        <f t="shared" ca="1" si="80"/>
        <v>#NAME?</v>
      </c>
      <c r="U163" s="183" t="e">
        <f t="shared" ca="1" si="80"/>
        <v>#NAME?</v>
      </c>
      <c r="V163" s="183" t="e">
        <f t="shared" ca="1" si="80"/>
        <v>#NAME?</v>
      </c>
      <c r="W163" s="183" t="e">
        <f t="shared" ca="1" si="80"/>
        <v>#NAME?</v>
      </c>
      <c r="X163" s="183" t="e">
        <f t="shared" ca="1" si="80"/>
        <v>#NAME?</v>
      </c>
      <c r="Y163" s="183" t="e">
        <f t="shared" ca="1" si="80"/>
        <v>#NAME?</v>
      </c>
      <c r="Z163" s="247" t="e">
        <f ca="1">Z160-Z162</f>
        <v>#NAME?</v>
      </c>
      <c r="AA163" s="249"/>
    </row>
    <row r="164" spans="1:27" s="256" customFormat="1" x14ac:dyDescent="0.2">
      <c r="A164" s="286" t="s">
        <v>183</v>
      </c>
      <c r="B164" s="287">
        <f t="shared" ref="B164:Y164" si="81">B159+B154+B149+B144+B139+B134+B129+B124+B119+B114+B109+B104+B101+B98+B95+B92+B89</f>
        <v>753</v>
      </c>
      <c r="C164" s="287">
        <f t="shared" si="81"/>
        <v>710</v>
      </c>
      <c r="D164" s="287">
        <f t="shared" si="81"/>
        <v>689</v>
      </c>
      <c r="E164" s="287">
        <f t="shared" si="81"/>
        <v>730</v>
      </c>
      <c r="F164" s="287">
        <f t="shared" si="81"/>
        <v>733</v>
      </c>
      <c r="G164" s="287">
        <f t="shared" si="81"/>
        <v>807</v>
      </c>
      <c r="H164" s="287">
        <f t="shared" si="81"/>
        <v>665</v>
      </c>
      <c r="I164" s="287">
        <f t="shared" si="81"/>
        <v>845</v>
      </c>
      <c r="J164" s="287">
        <f t="shared" si="81"/>
        <v>987</v>
      </c>
      <c r="K164" s="287">
        <f t="shared" si="81"/>
        <v>1032</v>
      </c>
      <c r="L164" s="287">
        <f t="shared" si="81"/>
        <v>1028</v>
      </c>
      <c r="M164" s="287" t="e">
        <f t="shared" si="81"/>
        <v>#REF!</v>
      </c>
      <c r="N164" s="287">
        <f t="shared" si="81"/>
        <v>1041</v>
      </c>
      <c r="O164" s="287">
        <f t="shared" si="81"/>
        <v>1087</v>
      </c>
      <c r="P164" s="287">
        <f t="shared" si="81"/>
        <v>1070</v>
      </c>
      <c r="Q164" s="287">
        <f t="shared" si="81"/>
        <v>1045</v>
      </c>
      <c r="R164" s="287">
        <f t="shared" si="81"/>
        <v>1042</v>
      </c>
      <c r="S164" s="287">
        <f t="shared" si="81"/>
        <v>1055</v>
      </c>
      <c r="T164" s="287">
        <f t="shared" si="81"/>
        <v>938</v>
      </c>
      <c r="U164" s="287">
        <f t="shared" si="81"/>
        <v>970</v>
      </c>
      <c r="V164" s="287">
        <f t="shared" si="81"/>
        <v>978</v>
      </c>
      <c r="W164" s="287">
        <f t="shared" si="81"/>
        <v>937</v>
      </c>
      <c r="X164" s="287">
        <f t="shared" si="81"/>
        <v>932</v>
      </c>
      <c r="Y164" s="288">
        <f t="shared" si="81"/>
        <v>911</v>
      </c>
      <c r="Z164" s="257"/>
      <c r="AA164" s="255"/>
    </row>
    <row r="165" spans="1:27" s="256" customFormat="1" ht="13.5" customHeight="1" thickBot="1" x14ac:dyDescent="0.25">
      <c r="A165" s="289" t="s">
        <v>184</v>
      </c>
      <c r="B165" s="290">
        <f t="shared" ref="B165:Y165" si="82">B161+B156+B151+B146+B141+B136+B131+B126+B121+B116+B111+B106+B102+B99+B96+B93+B90</f>
        <v>1002</v>
      </c>
      <c r="C165" s="290">
        <f t="shared" si="82"/>
        <v>904</v>
      </c>
      <c r="D165" s="290">
        <f t="shared" si="82"/>
        <v>875</v>
      </c>
      <c r="E165" s="290">
        <f t="shared" si="82"/>
        <v>874</v>
      </c>
      <c r="F165" s="290">
        <f t="shared" si="82"/>
        <v>885</v>
      </c>
      <c r="G165" s="290">
        <f t="shared" si="82"/>
        <v>939</v>
      </c>
      <c r="H165" s="290">
        <f t="shared" si="82"/>
        <v>934</v>
      </c>
      <c r="I165" s="290">
        <f t="shared" si="82"/>
        <v>974</v>
      </c>
      <c r="J165" s="290">
        <f t="shared" si="82"/>
        <v>946</v>
      </c>
      <c r="K165" s="290">
        <f t="shared" si="82"/>
        <v>917</v>
      </c>
      <c r="L165" s="290">
        <f t="shared" si="82"/>
        <v>953</v>
      </c>
      <c r="M165" s="290">
        <f t="shared" si="82"/>
        <v>957</v>
      </c>
      <c r="N165" s="290">
        <f t="shared" si="82"/>
        <v>948</v>
      </c>
      <c r="O165" s="290">
        <f t="shared" si="82"/>
        <v>990</v>
      </c>
      <c r="P165" s="290">
        <f t="shared" si="82"/>
        <v>978</v>
      </c>
      <c r="Q165" s="290">
        <f t="shared" si="82"/>
        <v>955</v>
      </c>
      <c r="R165" s="290">
        <f t="shared" si="82"/>
        <v>952</v>
      </c>
      <c r="S165" s="290">
        <f t="shared" si="82"/>
        <v>957</v>
      </c>
      <c r="T165" s="290">
        <f t="shared" si="82"/>
        <v>1046</v>
      </c>
      <c r="U165" s="290">
        <f t="shared" si="82"/>
        <v>1054</v>
      </c>
      <c r="V165" s="290">
        <f t="shared" si="82"/>
        <v>968</v>
      </c>
      <c r="W165" s="290">
        <f>W161+W156+W151+W146+W141+W136+W131+W126+W121+W116+W111+W106+W102+W99+W96+W93+W90</f>
        <v>938</v>
      </c>
      <c r="X165" s="290">
        <f t="shared" si="82"/>
        <v>923</v>
      </c>
      <c r="Y165" s="291">
        <f t="shared" si="82"/>
        <v>924</v>
      </c>
      <c r="Z165" s="257"/>
      <c r="AA165" s="169" t="e">
        <f ca="1">Z163+Z158+Z153+Z148+Z143+Z138+Z133+Z128+Z123+Z118+Z113+Z108+Z103+Z100+Z97+Z94+Z91</f>
        <v>#NAME?</v>
      </c>
    </row>
    <row r="166" spans="1:27" x14ac:dyDescent="0.2">
      <c r="A166" s="314" t="s">
        <v>185</v>
      </c>
      <c r="B166" s="315">
        <f t="shared" ref="B166:Y166" si="83">B165-B164</f>
        <v>249</v>
      </c>
      <c r="C166" s="315">
        <f t="shared" si="83"/>
        <v>194</v>
      </c>
      <c r="D166" s="315">
        <f t="shared" si="83"/>
        <v>186</v>
      </c>
      <c r="E166" s="315">
        <f t="shared" si="83"/>
        <v>144</v>
      </c>
      <c r="F166" s="315">
        <f t="shared" si="83"/>
        <v>152</v>
      </c>
      <c r="G166" s="315">
        <f t="shared" si="83"/>
        <v>132</v>
      </c>
      <c r="H166" s="315">
        <f t="shared" si="83"/>
        <v>269</v>
      </c>
      <c r="I166" s="315">
        <f t="shared" si="83"/>
        <v>129</v>
      </c>
      <c r="J166" s="315">
        <f t="shared" si="83"/>
        <v>-41</v>
      </c>
      <c r="K166" s="315">
        <f t="shared" si="83"/>
        <v>-115</v>
      </c>
      <c r="L166" s="315">
        <f t="shared" si="83"/>
        <v>-75</v>
      </c>
      <c r="M166" s="315" t="e">
        <f t="shared" si="83"/>
        <v>#REF!</v>
      </c>
      <c r="N166" s="315">
        <f t="shared" si="83"/>
        <v>-93</v>
      </c>
      <c r="O166" s="315">
        <f t="shared" si="83"/>
        <v>-97</v>
      </c>
      <c r="P166" s="315">
        <f t="shared" si="83"/>
        <v>-92</v>
      </c>
      <c r="Q166" s="315">
        <f t="shared" si="83"/>
        <v>-90</v>
      </c>
      <c r="R166" s="315">
        <f t="shared" si="83"/>
        <v>-90</v>
      </c>
      <c r="S166" s="315">
        <f t="shared" si="83"/>
        <v>-98</v>
      </c>
      <c r="T166" s="315">
        <f t="shared" si="83"/>
        <v>108</v>
      </c>
      <c r="U166" s="315">
        <f t="shared" si="83"/>
        <v>84</v>
      </c>
      <c r="V166" s="315">
        <f t="shared" si="83"/>
        <v>-10</v>
      </c>
      <c r="W166" s="315">
        <f t="shared" si="83"/>
        <v>1</v>
      </c>
      <c r="X166" s="315">
        <f t="shared" si="83"/>
        <v>-9</v>
      </c>
      <c r="Y166" s="316">
        <f t="shared" si="83"/>
        <v>13</v>
      </c>
      <c r="Z166" s="320" t="e">
        <f>SUM(B166:Y166)</f>
        <v>#REF!</v>
      </c>
    </row>
    <row r="167" spans="1:27" s="309" customFormat="1" ht="32.25" customHeight="1" thickBot="1" x14ac:dyDescent="0.25">
      <c r="A167" s="317" t="s">
        <v>186</v>
      </c>
      <c r="B167" s="318">
        <f t="shared" ref="B167:Y167" ca="1" si="84">B58</f>
        <v>-12</v>
      </c>
      <c r="C167" s="318">
        <f t="shared" ca="1" si="84"/>
        <v>7</v>
      </c>
      <c r="D167" s="318">
        <f t="shared" ca="1" si="84"/>
        <v>1</v>
      </c>
      <c r="E167" s="318">
        <f ca="1">E58</f>
        <v>-6</v>
      </c>
      <c r="F167" s="318">
        <f t="shared" ca="1" si="84"/>
        <v>0</v>
      </c>
      <c r="G167" s="318">
        <f t="shared" ca="1" si="84"/>
        <v>1</v>
      </c>
      <c r="H167" s="318">
        <f t="shared" ca="1" si="84"/>
        <v>2</v>
      </c>
      <c r="I167" s="318">
        <f t="shared" ca="1" si="84"/>
        <v>-13</v>
      </c>
      <c r="J167" s="318">
        <f t="shared" ca="1" si="84"/>
        <v>-7</v>
      </c>
      <c r="K167" s="318">
        <f t="shared" ca="1" si="84"/>
        <v>-9</v>
      </c>
      <c r="L167" s="318">
        <f t="shared" ca="1" si="84"/>
        <v>-4</v>
      </c>
      <c r="M167" s="318">
        <f t="shared" ca="1" si="84"/>
        <v>-1</v>
      </c>
      <c r="N167" s="318">
        <f t="shared" ca="1" si="84"/>
        <v>-5</v>
      </c>
      <c r="O167" s="318">
        <f t="shared" ca="1" si="84"/>
        <v>7</v>
      </c>
      <c r="P167" s="318">
        <f t="shared" ca="1" si="84"/>
        <v>4</v>
      </c>
      <c r="Q167" s="318">
        <f t="shared" ca="1" si="84"/>
        <v>-2</v>
      </c>
      <c r="R167" s="318">
        <f t="shared" ca="1" si="84"/>
        <v>-5</v>
      </c>
      <c r="S167" s="318">
        <f t="shared" ca="1" si="84"/>
        <v>-4</v>
      </c>
      <c r="T167" s="318">
        <f t="shared" ca="1" si="84"/>
        <v>4</v>
      </c>
      <c r="U167" s="318">
        <f t="shared" ca="1" si="84"/>
        <v>3</v>
      </c>
      <c r="V167" s="318">
        <f t="shared" ca="1" si="84"/>
        <v>1</v>
      </c>
      <c r="W167" s="318">
        <f t="shared" ca="1" si="84"/>
        <v>1</v>
      </c>
      <c r="X167" s="318">
        <f ca="1">X58</f>
        <v>3</v>
      </c>
      <c r="Y167" s="319">
        <f t="shared" ca="1" si="84"/>
        <v>1</v>
      </c>
      <c r="Z167" s="307">
        <f ca="1">SUM(B167:Y167)</f>
        <v>-33</v>
      </c>
      <c r="AA167" s="308"/>
    </row>
    <row r="168" spans="1:27" ht="13.5" hidden="1" thickBot="1" x14ac:dyDescent="0.25">
      <c r="A168" s="310" t="s">
        <v>187</v>
      </c>
      <c r="B168" s="311">
        <f t="shared" ref="B168:Y168" ca="1" si="85">B167+B166</f>
        <v>237</v>
      </c>
      <c r="C168" s="311">
        <f t="shared" ca="1" si="85"/>
        <v>201</v>
      </c>
      <c r="D168" s="311">
        <f t="shared" ca="1" si="85"/>
        <v>187</v>
      </c>
      <c r="E168" s="311">
        <f t="shared" ca="1" si="85"/>
        <v>138</v>
      </c>
      <c r="F168" s="311">
        <f t="shared" ca="1" si="85"/>
        <v>152</v>
      </c>
      <c r="G168" s="311">
        <f t="shared" ca="1" si="85"/>
        <v>133</v>
      </c>
      <c r="H168" s="311">
        <f t="shared" ca="1" si="85"/>
        <v>271</v>
      </c>
      <c r="I168" s="311">
        <f t="shared" ca="1" si="85"/>
        <v>116</v>
      </c>
      <c r="J168" s="311">
        <f t="shared" ca="1" si="85"/>
        <v>-48</v>
      </c>
      <c r="K168" s="311">
        <f t="shared" ca="1" si="85"/>
        <v>-124</v>
      </c>
      <c r="L168" s="311">
        <f t="shared" ca="1" si="85"/>
        <v>-79</v>
      </c>
      <c r="M168" s="311" t="e">
        <f t="shared" ca="1" si="85"/>
        <v>#REF!</v>
      </c>
      <c r="N168" s="311">
        <f t="shared" ca="1" si="85"/>
        <v>-98</v>
      </c>
      <c r="O168" s="311">
        <f t="shared" ca="1" si="85"/>
        <v>-90</v>
      </c>
      <c r="P168" s="311">
        <f t="shared" ca="1" si="85"/>
        <v>-88</v>
      </c>
      <c r="Q168" s="311">
        <f t="shared" ca="1" si="85"/>
        <v>-92</v>
      </c>
      <c r="R168" s="311">
        <f t="shared" ca="1" si="85"/>
        <v>-95</v>
      </c>
      <c r="S168" s="311">
        <f t="shared" ca="1" si="85"/>
        <v>-102</v>
      </c>
      <c r="T168" s="311">
        <f t="shared" ca="1" si="85"/>
        <v>112</v>
      </c>
      <c r="U168" s="311">
        <f t="shared" ca="1" si="85"/>
        <v>87</v>
      </c>
      <c r="V168" s="311">
        <f t="shared" ca="1" si="85"/>
        <v>-9</v>
      </c>
      <c r="W168" s="311">
        <f t="shared" ca="1" si="85"/>
        <v>2</v>
      </c>
      <c r="X168" s="311">
        <f t="shared" ca="1" si="85"/>
        <v>-6</v>
      </c>
      <c r="Y168" s="311">
        <f t="shared" ca="1" si="85"/>
        <v>14</v>
      </c>
      <c r="Z168" s="312" t="e">
        <f ca="1">SUM(B168:Y168)</f>
        <v>#REF!</v>
      </c>
    </row>
    <row r="169" spans="1:27" ht="13.5" thickBot="1" x14ac:dyDescent="0.25">
      <c r="A169" s="313"/>
      <c r="B169" s="260"/>
      <c r="C169" s="260"/>
      <c r="D169" s="260"/>
      <c r="E169" s="260"/>
      <c r="F169" s="260"/>
      <c r="G169" s="260"/>
      <c r="H169" s="260"/>
      <c r="I169" s="260"/>
      <c r="J169" s="260"/>
      <c r="K169" s="260"/>
      <c r="L169" s="260"/>
      <c r="M169" s="260"/>
      <c r="N169" s="260"/>
      <c r="O169" s="260"/>
      <c r="P169" s="260"/>
      <c r="Q169" s="260"/>
      <c r="R169" s="260"/>
      <c r="S169" s="260"/>
      <c r="T169" s="260"/>
      <c r="U169" s="260"/>
      <c r="V169" s="260"/>
      <c r="W169" s="260"/>
      <c r="X169" s="260"/>
      <c r="Y169" s="260"/>
      <c r="Z169" s="312" t="e">
        <f ca="1">Z166+Z167</f>
        <v>#REF!</v>
      </c>
      <c r="AA169" s="169" t="s">
        <v>188</v>
      </c>
    </row>
    <row r="170" spans="1:27" ht="43.5" customHeight="1" thickBot="1" x14ac:dyDescent="0.25">
      <c r="A170" s="296" t="s">
        <v>189</v>
      </c>
      <c r="B170" s="297"/>
      <c r="C170" s="298"/>
      <c r="D170" s="298"/>
      <c r="E170" s="298"/>
      <c r="F170" s="298"/>
      <c r="G170" s="298"/>
      <c r="H170" s="299"/>
      <c r="I170" s="299"/>
      <c r="J170" s="299"/>
      <c r="K170" s="299"/>
      <c r="L170" s="299"/>
      <c r="M170" s="299"/>
      <c r="N170" s="299"/>
      <c r="O170" s="299"/>
      <c r="P170" s="299"/>
      <c r="Q170" s="299"/>
      <c r="R170" s="299"/>
      <c r="S170" s="299"/>
      <c r="T170" s="299"/>
      <c r="U170" s="299"/>
      <c r="V170" s="299"/>
      <c r="W170" s="299"/>
      <c r="X170" s="299"/>
      <c r="Y170" s="299"/>
      <c r="Z170" s="285"/>
    </row>
    <row r="171" spans="1:27" ht="28.5" customHeight="1" x14ac:dyDescent="0.2">
      <c r="A171" s="321" t="s">
        <v>190</v>
      </c>
      <c r="B171" s="322">
        <f t="shared" ref="B171:Y171" si="86">((IF((103-B$89)=103,0,(103-B$89)))+(IF((200-B$95)=200,0,(200-B$95)))+(IF((196-B$98)=196,0,(196-B$98)))+(IF((200-B$101)=200,0,(200-B$101)))+(IF((70-B$104)=70,0,(MIN(40,(70-B$104))))+(IF((78-B$109)=78,0,(MIN(50,(78-B$109)))))+(IF((103-B$114)=103,0,(MIN(66,(103-B$114)))))+(IF((195-B$119-B$124-B$129-B$134-B$139)=195,0,(MIN(70,(195-B$119-B$124-B$129-B$134-B$139)))))+(IF((64-B$144)=64,0,(MIN(50,(64-B$144)))))+(IF((48-B$149)=48,0,(MIN(20,(48-B$149)))))+(IF((44-B$154)=44,0,(MIN(20,(44-B$154)))))+(IF((130-B$159)=130,0,(MIN(20,(130-B$159)))))))</f>
        <v>435</v>
      </c>
      <c r="C171" s="322">
        <f t="shared" si="86"/>
        <v>476</v>
      </c>
      <c r="D171" s="322">
        <f t="shared" si="86"/>
        <v>500</v>
      </c>
      <c r="E171" s="322">
        <f>((IF((103-E$89)=103,0,(103-E$89)))+(IF((200-E$95)=200,0,(200-E$95)))+(IF((196-E$98)=196,0,(196-E$98)))+(IF((200-E$101)=200,0,(200-E$101)))+(IF((70-E$104)=70,0,(MIN(40,(70-E$104))))+(IF((78-E$109)=78,0,(MIN(50,(78-E$109)))))+(IF((103-E$114)=103,0,(MIN(66,(103-E$114)))))+(IF((195-E$119-E$124-E$129-E$134-E$139)=195,0,(MIN(70,(195-E$119-E$124-E$129-E$134-E$139)))))+(IF((64-E$144)=64,0,(MIN(50,(64-E$144)))))+(IF((48-E$149)=48,0,(MIN(20,(48-E$149)))))+(IF((44-E$154)=44,0,(MIN(20,(44-E$154)))))+(IF((130-E$159)=130,0,(MIN(20,(130-E$159)))))))</f>
        <v>458</v>
      </c>
      <c r="F171" s="322">
        <f t="shared" si="86"/>
        <v>456</v>
      </c>
      <c r="G171" s="322">
        <f t="shared" si="86"/>
        <v>391</v>
      </c>
      <c r="H171" s="322">
        <f t="shared" si="86"/>
        <v>534</v>
      </c>
      <c r="I171" s="322">
        <f t="shared" si="86"/>
        <v>373</v>
      </c>
      <c r="J171" s="322">
        <f t="shared" si="86"/>
        <v>287</v>
      </c>
      <c r="K171" s="322">
        <f t="shared" si="86"/>
        <v>269</v>
      </c>
      <c r="L171" s="322">
        <f t="shared" si="86"/>
        <v>273</v>
      </c>
      <c r="M171" s="322">
        <f t="shared" si="86"/>
        <v>255</v>
      </c>
      <c r="N171" s="322">
        <f t="shared" si="86"/>
        <v>260</v>
      </c>
      <c r="O171" s="322">
        <f t="shared" si="86"/>
        <v>214</v>
      </c>
      <c r="P171" s="322">
        <f t="shared" si="86"/>
        <v>231</v>
      </c>
      <c r="Q171" s="322">
        <f t="shared" si="86"/>
        <v>256</v>
      </c>
      <c r="R171" s="322">
        <f t="shared" si="86"/>
        <v>259</v>
      </c>
      <c r="S171" s="322">
        <f t="shared" si="86"/>
        <v>246</v>
      </c>
      <c r="T171" s="322">
        <f t="shared" si="86"/>
        <v>361</v>
      </c>
      <c r="U171" s="322">
        <f t="shared" si="86"/>
        <v>267</v>
      </c>
      <c r="V171" s="322">
        <f t="shared" si="86"/>
        <v>259</v>
      </c>
      <c r="W171" s="322">
        <f t="shared" si="86"/>
        <v>300</v>
      </c>
      <c r="X171" s="322">
        <f t="shared" si="86"/>
        <v>367</v>
      </c>
      <c r="Y171" s="323">
        <f t="shared" si="86"/>
        <v>389</v>
      </c>
      <c r="Z171" s="256"/>
    </row>
    <row r="172" spans="1:27" ht="28.5" customHeight="1" thickBot="1" x14ac:dyDescent="0.25">
      <c r="A172" s="324" t="s">
        <v>191</v>
      </c>
      <c r="B172" s="325">
        <f t="shared" ref="B172:Y172" si="87">((IF((103-B$90)=103,0,(103-B$90)))+(IF((200-B$96)=200,0,(200-B$96)))+(IF((196-B$99)=196,0,(196-B$99)))+(IF((200-B$102)=200,0,(200-B$102)))+(IF((70-B$106)=70,0,(MIN(40,(70-B$106))))+(IF((78-B$111)=78,0,(MIN(50,(78-B$111)))))+(IF((103-B$116)=103,0,(MIN(66,(103-B$116)))))+(IF((195-B$121-B$126-B$131-B$136-B$141)=195,0,(MIN(70,(195-B$121-B$126-B$131-B$136-B$141)))))+(IF((64-B$146)=64,0,(MIN(50,(64-B$146)))))+(IF((48-B$151)=48,0,(MIN(20,(48-B$151)))))+(IF((44-B$156)=44,0,(MIN(20,(44-B$156)))))+(IF((130-B$161)=130,0,(MIN(20,(130-B$161)))))))</f>
        <v>166</v>
      </c>
      <c r="C172" s="325">
        <f t="shared" si="87"/>
        <v>268</v>
      </c>
      <c r="D172" s="325">
        <f t="shared" si="87"/>
        <v>297</v>
      </c>
      <c r="E172" s="325">
        <f>((IF((103-E$90)=103,0,(103-E$90)))+(IF((200-E$96)=200,0,(200-E$96)))+(IF((196-E$99)=196,0,(196-E$99)))+(IF((200-E$102)=200,0,(200-E$102)))+(IF((70-E$106)=70,0,(MIN(40,(70-E$106))))+(IF((78-E$111)=78,0,(MIN(50,(78-E$111)))))+(IF((103-E$116)=103,0,(MIN(66,(103-E$116)))))+(IF((195-E$121-E$126-E$131-E$136-E$141)=195,0,(MIN(70,(195-E$121-E$126-E$131-E$136-E$141)))))+(IF((64-E$146)=64,0,(MIN(50,(64-E$146)))))+(IF((48-E$151)=48,0,(MIN(20,(48-E$151)))))+(IF((44-E$156)=44,0,(MIN(20,(44-E$156)))))+(IF((130-E$161)=130,0,(MIN(20,(130-E$161)))))))</f>
        <v>298</v>
      </c>
      <c r="F172" s="325">
        <f t="shared" si="87"/>
        <v>296</v>
      </c>
      <c r="G172" s="325">
        <f t="shared" si="87"/>
        <v>262</v>
      </c>
      <c r="H172" s="325">
        <f t="shared" si="87"/>
        <v>248</v>
      </c>
      <c r="I172" s="325">
        <f t="shared" si="87"/>
        <v>208</v>
      </c>
      <c r="J172" s="325">
        <f t="shared" si="87"/>
        <v>226</v>
      </c>
      <c r="K172" s="325">
        <f t="shared" si="87"/>
        <v>255</v>
      </c>
      <c r="L172" s="325">
        <f t="shared" si="87"/>
        <v>219</v>
      </c>
      <c r="M172" s="325">
        <f t="shared" si="87"/>
        <v>215</v>
      </c>
      <c r="N172" s="325">
        <f t="shared" si="87"/>
        <v>224</v>
      </c>
      <c r="O172" s="325">
        <f t="shared" si="87"/>
        <v>182</v>
      </c>
      <c r="P172" s="325">
        <f t="shared" si="87"/>
        <v>194</v>
      </c>
      <c r="Q172" s="325">
        <f t="shared" si="87"/>
        <v>217</v>
      </c>
      <c r="R172" s="325">
        <f t="shared" si="87"/>
        <v>220</v>
      </c>
      <c r="S172" s="325">
        <f t="shared" si="87"/>
        <v>215</v>
      </c>
      <c r="T172" s="325">
        <f t="shared" si="87"/>
        <v>165</v>
      </c>
      <c r="U172" s="325">
        <f t="shared" si="87"/>
        <v>118</v>
      </c>
      <c r="V172" s="325">
        <f t="shared" si="87"/>
        <v>184</v>
      </c>
      <c r="W172" s="325">
        <f t="shared" si="87"/>
        <v>189</v>
      </c>
      <c r="X172" s="325">
        <f t="shared" si="87"/>
        <v>259</v>
      </c>
      <c r="Y172" s="326">
        <f t="shared" si="87"/>
        <v>258</v>
      </c>
      <c r="Z172" s="256"/>
    </row>
    <row r="173" spans="1:27" hidden="1" x14ac:dyDescent="0.2">
      <c r="A173" s="295" t="s">
        <v>192</v>
      </c>
      <c r="B173" s="259" t="e">
        <f>B22+B23+#REF!</f>
        <v>#REF!</v>
      </c>
      <c r="C173" s="259" t="e">
        <f>C22+C23+#REF!</f>
        <v>#REF!</v>
      </c>
      <c r="D173" s="259" t="e">
        <f>D22+D23+#REF!</f>
        <v>#REF!</v>
      </c>
      <c r="E173" s="259" t="e">
        <f>E22+E23+#REF!</f>
        <v>#REF!</v>
      </c>
      <c r="F173" s="259" t="e">
        <f>F22+F23+#REF!</f>
        <v>#REF!</v>
      </c>
      <c r="G173" s="259" t="e">
        <f>G22+G23+#REF!</f>
        <v>#REF!</v>
      </c>
      <c r="H173" s="259" t="e">
        <f>H22+H23+#REF!</f>
        <v>#REF!</v>
      </c>
      <c r="I173" s="259" t="e">
        <f>I22+I23+#REF!</f>
        <v>#REF!</v>
      </c>
      <c r="J173" s="259" t="e">
        <f>J22+J23+#REF!</f>
        <v>#REF!</v>
      </c>
      <c r="K173" s="259" t="e">
        <f>K22+K23+#REF!</f>
        <v>#REF!</v>
      </c>
      <c r="L173" s="259" t="e">
        <f>L22+L23+#REF!</f>
        <v>#REF!</v>
      </c>
      <c r="M173" s="259" t="e">
        <f>M22+M23+#REF!</f>
        <v>#REF!</v>
      </c>
      <c r="N173" s="259" t="e">
        <f>N22+N23+#REF!</f>
        <v>#REF!</v>
      </c>
      <c r="O173" s="259" t="e">
        <f>O22+O23+#REF!</f>
        <v>#REF!</v>
      </c>
      <c r="P173" s="259" t="e">
        <f>P22+P23+#REF!</f>
        <v>#REF!</v>
      </c>
      <c r="Q173" s="259" t="e">
        <f>Q22+Q23+#REF!</f>
        <v>#REF!</v>
      </c>
      <c r="R173" s="259" t="e">
        <f>R22+R23+#REF!</f>
        <v>#REF!</v>
      </c>
      <c r="S173" s="259" t="e">
        <f>S22+S23+#REF!</f>
        <v>#REF!</v>
      </c>
      <c r="T173" s="259" t="e">
        <f>T22+T23+#REF!</f>
        <v>#REF!</v>
      </c>
      <c r="U173" s="259" t="e">
        <f>U22+U23+#REF!</f>
        <v>#REF!</v>
      </c>
      <c r="V173" s="259" t="e">
        <f>V22+V23+#REF!</f>
        <v>#REF!</v>
      </c>
      <c r="W173" s="259" t="e">
        <f>W22+W23+#REF!</f>
        <v>#REF!</v>
      </c>
      <c r="X173" s="259" t="e">
        <f>X22+X23+#REF!</f>
        <v>#REF!</v>
      </c>
      <c r="Y173" s="300" t="e">
        <f>Y22+Y23+#REF!</f>
        <v>#REF!</v>
      </c>
      <c r="Z173" s="257"/>
    </row>
    <row r="174" spans="1:27" x14ac:dyDescent="0.2">
      <c r="B174" s="259"/>
      <c r="C174" s="260"/>
      <c r="D174" s="260"/>
      <c r="E174" s="260"/>
      <c r="F174" s="260"/>
      <c r="G174" s="260"/>
      <c r="H174" s="260"/>
      <c r="I174" s="260"/>
      <c r="J174" s="260"/>
      <c r="K174" s="260"/>
      <c r="L174" s="260"/>
      <c r="M174" s="260"/>
      <c r="N174" s="260"/>
      <c r="O174" s="260"/>
      <c r="P174" s="260"/>
      <c r="Q174" s="260"/>
      <c r="R174" s="260"/>
      <c r="S174" s="260"/>
      <c r="T174" s="260"/>
      <c r="U174" s="260"/>
      <c r="V174" s="260"/>
      <c r="W174" s="260"/>
      <c r="X174" s="260"/>
      <c r="Y174" s="260"/>
      <c r="Z174" s="256"/>
    </row>
    <row r="175" spans="1:27" x14ac:dyDescent="0.2">
      <c r="B175" s="261" t="s">
        <v>193</v>
      </c>
      <c r="C175" s="262"/>
      <c r="D175" s="262"/>
      <c r="E175" s="262"/>
      <c r="F175" s="262"/>
      <c r="G175" s="263"/>
      <c r="H175" s="292" t="s">
        <v>194</v>
      </c>
      <c r="I175" s="293"/>
      <c r="J175" s="293"/>
      <c r="K175" s="294" t="e">
        <f ca="1">Z88</f>
        <v>#REF!</v>
      </c>
      <c r="L175" s="264"/>
      <c r="M175" s="264"/>
      <c r="N175" s="264"/>
      <c r="O175" s="264"/>
      <c r="P175" s="265"/>
      <c r="AA175"/>
    </row>
    <row r="176" spans="1:27" x14ac:dyDescent="0.2">
      <c r="B176" s="251" t="s">
        <v>195</v>
      </c>
      <c r="H176" s="304" t="s">
        <v>196</v>
      </c>
      <c r="I176" s="305"/>
      <c r="J176" s="305"/>
      <c r="K176" s="306">
        <v>524</v>
      </c>
      <c r="L176" s="155" t="s">
        <v>197</v>
      </c>
      <c r="P176" s="250"/>
    </row>
    <row r="177" spans="2:26" x14ac:dyDescent="0.2">
      <c r="B177" s="251" t="s">
        <v>198</v>
      </c>
      <c r="P177" s="250"/>
    </row>
    <row r="178" spans="2:26" x14ac:dyDescent="0.2">
      <c r="B178" s="251" t="s">
        <v>199</v>
      </c>
      <c r="P178" s="250"/>
    </row>
    <row r="179" spans="2:26" x14ac:dyDescent="0.2">
      <c r="B179" s="251" t="s">
        <v>200</v>
      </c>
      <c r="P179" s="250"/>
    </row>
    <row r="180" spans="2:26" x14ac:dyDescent="0.2">
      <c r="B180" s="327" t="s">
        <v>201</v>
      </c>
      <c r="P180" s="250"/>
    </row>
    <row r="181" spans="2:26" x14ac:dyDescent="0.2">
      <c r="B181" s="266" t="s">
        <v>202</v>
      </c>
      <c r="C181" s="267"/>
      <c r="P181" s="250"/>
    </row>
    <row r="182" spans="2:26" x14ac:dyDescent="0.2">
      <c r="B182" s="328" t="s">
        <v>203</v>
      </c>
      <c r="P182" s="250"/>
    </row>
    <row r="183" spans="2:26" x14ac:dyDescent="0.2">
      <c r="B183" s="329" t="s">
        <v>204</v>
      </c>
      <c r="P183" s="250"/>
    </row>
    <row r="184" spans="2:26" x14ac:dyDescent="0.2">
      <c r="B184" s="252"/>
      <c r="C184" s="253"/>
      <c r="D184" s="253"/>
      <c r="E184" s="253"/>
      <c r="F184" s="253"/>
      <c r="G184" s="253"/>
      <c r="H184" s="253"/>
      <c r="I184" s="253"/>
      <c r="J184" s="253"/>
      <c r="K184" s="253"/>
      <c r="L184" s="253"/>
      <c r="M184" s="253"/>
      <c r="N184" s="253"/>
      <c r="O184" s="253"/>
      <c r="P184" s="254"/>
    </row>
    <row r="185" spans="2:26" x14ac:dyDescent="0.2">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row>
    <row r="198" spans="1:25" x14ac:dyDescent="0.2">
      <c r="A198" s="445"/>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c r="Y198" s="256"/>
    </row>
    <row r="199" spans="1:25" x14ac:dyDescent="0.2">
      <c r="A199" s="445"/>
    </row>
    <row r="200" spans="1:25" x14ac:dyDescent="0.2">
      <c r="A200" s="445"/>
    </row>
    <row r="222" spans="5:5" x14ac:dyDescent="0.2">
      <c r="E222" s="330"/>
    </row>
  </sheetData>
  <phoneticPr fontId="9" type="noConversion"/>
  <pageMargins left="0.18" right="0.17" top="0.5" bottom="0.5" header="0.5" footer="0.5"/>
  <pageSetup scale="55" orientation="landscape" blackAndWhite="1" r:id="rId1"/>
  <headerFooter alignWithMargins="0">
    <oddFoote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26" r:id="rId4" name="BtnAddRow">
              <controlPr defaultSize="0" print="0" autoFill="0" autoLine="0" autoPict="0" macro="[0]!mmcrOpenTestElpaso">
                <anchor moveWithCells="1" sizeWithCells="1">
                  <from>
                    <xdr:col>3</xdr:col>
                    <xdr:colOff>285750</xdr:colOff>
                    <xdr:row>38</xdr:row>
                    <xdr:rowOff>0</xdr:rowOff>
                  </from>
                  <to>
                    <xdr:col>5</xdr:col>
                    <xdr:colOff>314325</xdr:colOff>
                    <xdr:row>38</xdr:row>
                    <xdr:rowOff>200025</xdr:rowOff>
                  </to>
                </anchor>
              </controlPr>
            </control>
          </mc:Choice>
        </mc:AlternateContent>
        <mc:AlternateContent xmlns:mc="http://schemas.openxmlformats.org/markup-compatibility/2006">
          <mc:Choice Requires="x14">
            <control shapeId="4128" r:id="rId5" name="BtnAddRow">
              <controlPr defaultSize="0" print="0" autoFill="0" autoLine="0" autoPict="0" macro="[0]!mmcrSpinning">
                <anchor moveWithCells="1" sizeWithCells="1">
                  <from>
                    <xdr:col>5</xdr:col>
                    <xdr:colOff>352425</xdr:colOff>
                    <xdr:row>38</xdr:row>
                    <xdr:rowOff>0</xdr:rowOff>
                  </from>
                  <to>
                    <xdr:col>7</xdr:col>
                    <xdr:colOff>381000</xdr:colOff>
                    <xdr:row>38</xdr:row>
                    <xdr:rowOff>200025</xdr:rowOff>
                  </to>
                </anchor>
              </controlPr>
            </control>
          </mc:Choice>
        </mc:AlternateContent>
        <mc:AlternateContent xmlns:mc="http://schemas.openxmlformats.org/markup-compatibility/2006">
          <mc:Choice Requires="x14">
            <control shapeId="4132" r:id="rId6" name="Button 36">
              <controlPr defaultSize="0" print="0" autoFill="0" autoPict="0" macro="[0]!MACRO_LoadFile">
                <anchor moveWithCells="1" sizeWithCells="1">
                  <from>
                    <xdr:col>7</xdr:col>
                    <xdr:colOff>438150</xdr:colOff>
                    <xdr:row>38</xdr:row>
                    <xdr:rowOff>9525</xdr:rowOff>
                  </from>
                  <to>
                    <xdr:col>9</xdr:col>
                    <xdr:colOff>476250</xdr:colOff>
                    <xdr:row>38</xdr:row>
                    <xdr:rowOff>209550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2FECC-0425-4588-9CED-3A3AB5C9DFD6}">
  <sheetPr codeName="sFront"/>
  <dimension ref="A2:F18"/>
  <sheetViews>
    <sheetView topLeftCell="E1" workbookViewId="0">
      <selection activeCell="H11" sqref="H11"/>
    </sheetView>
  </sheetViews>
  <sheetFormatPr defaultRowHeight="12.75" x14ac:dyDescent="0.2"/>
  <cols>
    <col min="1" max="1" width="9.140625" hidden="1" customWidth="1"/>
    <col min="3" max="4" width="10.28515625" customWidth="1"/>
  </cols>
  <sheetData>
    <row r="2" spans="3:6" ht="18.75" x14ac:dyDescent="0.3">
      <c r="C2" s="396" t="s">
        <v>271</v>
      </c>
      <c r="D2" s="397"/>
      <c r="E2" s="398"/>
      <c r="F2" s="397"/>
    </row>
    <row r="4" spans="3:6" x14ac:dyDescent="0.2">
      <c r="C4" s="399" t="s">
        <v>269</v>
      </c>
      <c r="E4" s="400">
        <v>36244</v>
      </c>
    </row>
    <row r="5" spans="3:6" x14ac:dyDescent="0.2">
      <c r="C5" s="399" t="s">
        <v>270</v>
      </c>
      <c r="E5" s="400">
        <v>36244</v>
      </c>
    </row>
    <row r="17" spans="5:5" x14ac:dyDescent="0.2">
      <c r="E17" s="401"/>
    </row>
    <row r="18" spans="5:5" x14ac:dyDescent="0.2">
      <c r="E18" s="401"/>
    </row>
  </sheetData>
  <phoneticPr fontId="9" type="noConversion"/>
  <pageMargins left="0.75" right="0.75" top="1" bottom="1" header="0.5" footer="0.5"/>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4" r:id="rId4" name="Button 2">
              <controlPr defaultSize="0" print="0" autoFill="0" autoPict="0" macro="[0]!GetEPEPrice">
                <anchor moveWithCells="1" sizeWithCells="1">
                  <from>
                    <xdr:col>7</xdr:col>
                    <xdr:colOff>9525</xdr:colOff>
                    <xdr:row>2</xdr:row>
                    <xdr:rowOff>57150</xdr:rowOff>
                  </from>
                  <to>
                    <xdr:col>9</xdr:col>
                    <xdr:colOff>0</xdr:colOff>
                    <xdr:row>3</xdr:row>
                    <xdr:rowOff>142875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6B15E-7A25-4BC9-8B6E-2F9643A97C65}">
  <sheetPr codeName="Sheet3"/>
  <dimension ref="B31:B61"/>
  <sheetViews>
    <sheetView workbookViewId="0">
      <selection activeCell="B31" sqref="B31:B48"/>
    </sheetView>
  </sheetViews>
  <sheetFormatPr defaultRowHeight="12.75" x14ac:dyDescent="0.2"/>
  <sheetData>
    <row r="31" spans="2:2" x14ac:dyDescent="0.2">
      <c r="B31">
        <v>37122.199999999997</v>
      </c>
    </row>
    <row r="32" spans="2:2" x14ac:dyDescent="0.2">
      <c r="B32" t="s">
        <v>385</v>
      </c>
    </row>
    <row r="33" spans="2:2" x14ac:dyDescent="0.2">
      <c r="B33" t="s">
        <v>383</v>
      </c>
    </row>
    <row r="34" spans="2:2" x14ac:dyDescent="0.2">
      <c r="B34" t="s">
        <v>386</v>
      </c>
    </row>
    <row r="35" spans="2:2" x14ac:dyDescent="0.2">
      <c r="B35" t="s">
        <v>376</v>
      </c>
    </row>
    <row r="36" spans="2:2" x14ac:dyDescent="0.2">
      <c r="B36" t="s">
        <v>377</v>
      </c>
    </row>
    <row r="37" spans="2:2" x14ac:dyDescent="0.2">
      <c r="B37" t="s">
        <v>370</v>
      </c>
    </row>
    <row r="38" spans="2:2" x14ac:dyDescent="0.2">
      <c r="B38" t="s">
        <v>362</v>
      </c>
    </row>
    <row r="39" spans="2:2" x14ac:dyDescent="0.2">
      <c r="B39" t="s">
        <v>387</v>
      </c>
    </row>
    <row r="40" spans="2:2" x14ac:dyDescent="0.2">
      <c r="B40" t="s">
        <v>388</v>
      </c>
    </row>
    <row r="41" spans="2:2" x14ac:dyDescent="0.2">
      <c r="B41" t="s">
        <v>389</v>
      </c>
    </row>
    <row r="42" spans="2:2" x14ac:dyDescent="0.2">
      <c r="B42" t="s">
        <v>381</v>
      </c>
    </row>
    <row r="43" spans="2:2" x14ac:dyDescent="0.2">
      <c r="B43" t="s">
        <v>384</v>
      </c>
    </row>
    <row r="44" spans="2:2" x14ac:dyDescent="0.2">
      <c r="B44" t="s">
        <v>374</v>
      </c>
    </row>
    <row r="45" spans="2:2" x14ac:dyDescent="0.2">
      <c r="B45" t="s">
        <v>390</v>
      </c>
    </row>
    <row r="46" spans="2:2" x14ac:dyDescent="0.2">
      <c r="B46" t="s">
        <v>391</v>
      </c>
    </row>
    <row r="47" spans="2:2" x14ac:dyDescent="0.2">
      <c r="B47" t="s">
        <v>392</v>
      </c>
    </row>
    <row r="48" spans="2:2" x14ac:dyDescent="0.2">
      <c r="B48" t="s">
        <v>393</v>
      </c>
    </row>
    <row r="49" spans="2:2" x14ac:dyDescent="0.2">
      <c r="B49" t="s">
        <v>346</v>
      </c>
    </row>
    <row r="50" spans="2:2" x14ac:dyDescent="0.2">
      <c r="B50" t="s">
        <v>350</v>
      </c>
    </row>
    <row r="51" spans="2:2" x14ac:dyDescent="0.2">
      <c r="B51" t="s">
        <v>347</v>
      </c>
    </row>
    <row r="52" spans="2:2" x14ac:dyDescent="0.2">
      <c r="B52" t="s">
        <v>351</v>
      </c>
    </row>
    <row r="53" spans="2:2" x14ac:dyDescent="0.2">
      <c r="B53" t="s">
        <v>352</v>
      </c>
    </row>
    <row r="54" spans="2:2" x14ac:dyDescent="0.2">
      <c r="B54" t="s">
        <v>353</v>
      </c>
    </row>
    <row r="55" spans="2:2" x14ac:dyDescent="0.2">
      <c r="B55" t="s">
        <v>354</v>
      </c>
    </row>
    <row r="56" spans="2:2" x14ac:dyDescent="0.2">
      <c r="B56" t="s">
        <v>355</v>
      </c>
    </row>
    <row r="57" spans="2:2" x14ac:dyDescent="0.2">
      <c r="B57" t="s">
        <v>356</v>
      </c>
    </row>
    <row r="58" spans="2:2" x14ac:dyDescent="0.2">
      <c r="B58" t="s">
        <v>348</v>
      </c>
    </row>
    <row r="59" spans="2:2" x14ac:dyDescent="0.2">
      <c r="B59" t="s">
        <v>357</v>
      </c>
    </row>
    <row r="60" spans="2:2" x14ac:dyDescent="0.2">
      <c r="B60" t="s">
        <v>358</v>
      </c>
    </row>
    <row r="61" spans="2:2" x14ac:dyDescent="0.2">
      <c r="B61" t="s">
        <v>349</v>
      </c>
    </row>
  </sheetData>
  <phoneticPr fontId="9" type="noConversion"/>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D6F5D-480B-4A62-B850-E0285CAC8E39}">
  <sheetPr codeName="Sheet10"/>
  <dimension ref="A6:X9"/>
  <sheetViews>
    <sheetView topLeftCell="F1" workbookViewId="0">
      <selection activeCell="H3" sqref="H3"/>
    </sheetView>
  </sheetViews>
  <sheetFormatPr defaultRowHeight="12.75" x14ac:dyDescent="0.2"/>
  <sheetData>
    <row r="6" spans="1:24" ht="13.5" thickBot="1" x14ac:dyDescent="0.25"/>
    <row r="7" spans="1:24" x14ac:dyDescent="0.2">
      <c r="A7" s="468">
        <v>613</v>
      </c>
      <c r="B7" s="468">
        <v>599</v>
      </c>
      <c r="C7" s="468">
        <v>587</v>
      </c>
      <c r="D7" s="468">
        <v>573</v>
      </c>
      <c r="E7" s="468">
        <v>595</v>
      </c>
      <c r="F7" s="468">
        <v>637</v>
      </c>
      <c r="G7" s="468">
        <v>745</v>
      </c>
      <c r="H7" s="468">
        <v>776</v>
      </c>
      <c r="I7" s="468">
        <v>763</v>
      </c>
      <c r="J7" s="468">
        <v>797</v>
      </c>
      <c r="K7" s="468">
        <v>815</v>
      </c>
      <c r="L7" s="468">
        <v>811</v>
      </c>
      <c r="M7" s="468">
        <v>800</v>
      </c>
      <c r="N7" s="468">
        <v>798</v>
      </c>
      <c r="O7" s="468">
        <v>778</v>
      </c>
      <c r="P7" s="468">
        <v>762</v>
      </c>
      <c r="Q7" s="468">
        <v>770</v>
      </c>
      <c r="R7" s="468">
        <v>801</v>
      </c>
      <c r="S7" s="468">
        <v>857</v>
      </c>
      <c r="T7" s="468">
        <v>849</v>
      </c>
      <c r="U7" s="468">
        <v>838</v>
      </c>
      <c r="V7" s="468">
        <v>798</v>
      </c>
      <c r="W7" s="469">
        <v>741</v>
      </c>
      <c r="X7" s="469">
        <v>659</v>
      </c>
    </row>
    <row r="8" spans="1:24" ht="13.5" thickBot="1" x14ac:dyDescent="0.25"/>
    <row r="9" spans="1:24" x14ac:dyDescent="0.2">
      <c r="A9" s="468">
        <v>611</v>
      </c>
      <c r="B9" s="468">
        <v>584</v>
      </c>
      <c r="C9" s="468">
        <v>570</v>
      </c>
      <c r="D9" s="468">
        <v>573</v>
      </c>
      <c r="E9" s="468">
        <v>576</v>
      </c>
      <c r="F9" s="468">
        <v>662</v>
      </c>
      <c r="G9" s="468">
        <v>738</v>
      </c>
      <c r="H9" s="468">
        <v>758</v>
      </c>
      <c r="I9" s="468">
        <v>789</v>
      </c>
      <c r="J9" s="468">
        <v>790</v>
      </c>
      <c r="K9" s="468">
        <v>801</v>
      </c>
      <c r="L9" s="468">
        <v>801</v>
      </c>
      <c r="M9" s="468">
        <v>804</v>
      </c>
      <c r="N9" s="468">
        <v>801</v>
      </c>
      <c r="O9" s="468">
        <v>799</v>
      </c>
      <c r="P9" s="468">
        <v>787</v>
      </c>
      <c r="Q9" s="468">
        <v>784</v>
      </c>
      <c r="R9" s="468">
        <v>782</v>
      </c>
      <c r="S9" s="468">
        <v>863</v>
      </c>
    </row>
  </sheetData>
  <phoneticPr fontId="9"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1B93E-5507-41CC-8E8F-EE220E3D6D74}">
  <sheetPr codeName="Sheet5"/>
  <dimension ref="A1:BW353"/>
  <sheetViews>
    <sheetView showGridLines="0" tabSelected="1" topLeftCell="A84" zoomScaleNormal="100" workbookViewId="0">
      <selection activeCell="F143" sqref="F143"/>
    </sheetView>
  </sheetViews>
  <sheetFormatPr defaultColWidth="6.140625" defaultRowHeight="12.75" x14ac:dyDescent="0.2"/>
  <cols>
    <col min="1" max="1" width="21.42578125" style="355" customWidth="1"/>
    <col min="2" max="2" width="13.140625" style="355" customWidth="1"/>
    <col min="3" max="3" width="9.7109375" style="355" customWidth="1"/>
    <col min="4" max="4" width="12.5703125" style="355" customWidth="1"/>
    <col min="5" max="5" width="3.7109375" style="355" hidden="1" customWidth="1"/>
    <col min="6" max="6" width="10.85546875" style="577" customWidth="1"/>
    <col min="7" max="7" width="7.28515625" style="355" customWidth="1"/>
    <col min="8" max="8" width="7.28515625" style="399" customWidth="1"/>
    <col min="9" max="12" width="7.28515625" style="355" customWidth="1"/>
    <col min="13" max="28" width="7.28515625" style="577" customWidth="1"/>
    <col min="29" max="29" width="7.28515625" style="583" customWidth="1"/>
    <col min="30" max="30" width="13.140625" style="355" customWidth="1"/>
    <col min="31" max="31" width="14.5703125" style="358" customWidth="1"/>
    <col min="32" max="16384" width="6.140625" style="355"/>
  </cols>
  <sheetData>
    <row r="1" spans="1:75" s="343" customFormat="1" ht="15.75" customHeight="1" x14ac:dyDescent="0.2">
      <c r="A1" s="340"/>
      <c r="B1" s="341"/>
      <c r="C1" s="341"/>
      <c r="D1" s="341"/>
      <c r="E1" s="341"/>
      <c r="F1" s="575"/>
      <c r="G1" s="341"/>
      <c r="H1" s="649"/>
      <c r="I1" s="341"/>
      <c r="J1" s="341" t="s">
        <v>342</v>
      </c>
      <c r="K1" s="341"/>
      <c r="L1" s="341"/>
      <c r="M1" s="575"/>
      <c r="N1" s="575" t="s">
        <v>15</v>
      </c>
      <c r="O1" s="575"/>
      <c r="P1" s="575" t="s">
        <v>15</v>
      </c>
      <c r="Q1" s="575"/>
      <c r="R1" s="575"/>
      <c r="S1" s="575"/>
      <c r="T1" s="575"/>
      <c r="U1" s="575"/>
      <c r="V1" s="575"/>
      <c r="W1" s="575" t="s">
        <v>15</v>
      </c>
      <c r="X1" s="575"/>
      <c r="Y1" s="575"/>
      <c r="Z1" s="575"/>
      <c r="AA1" s="575"/>
      <c r="AB1" s="575" t="s">
        <v>15</v>
      </c>
      <c r="AC1" s="579"/>
      <c r="AD1" s="341"/>
      <c r="AE1" s="342"/>
      <c r="AF1" s="549"/>
    </row>
    <row r="2" spans="1:75" s="339" customFormat="1" ht="25.5" customHeight="1" x14ac:dyDescent="0.2">
      <c r="A2" s="344" t="s">
        <v>60</v>
      </c>
      <c r="B2" s="345" t="s">
        <v>59</v>
      </c>
      <c r="C2" s="345" t="s">
        <v>58</v>
      </c>
      <c r="D2" s="345" t="s">
        <v>9</v>
      </c>
      <c r="E2" s="345"/>
      <c r="F2" s="545">
        <v>1</v>
      </c>
      <c r="G2" s="346">
        <v>2</v>
      </c>
      <c r="H2" s="650">
        <v>3</v>
      </c>
      <c r="I2" s="346">
        <v>4</v>
      </c>
      <c r="J2" s="346">
        <v>5</v>
      </c>
      <c r="K2" s="346">
        <v>6</v>
      </c>
      <c r="L2" s="346">
        <v>7</v>
      </c>
      <c r="M2" s="545">
        <v>8</v>
      </c>
      <c r="N2" s="545">
        <v>9</v>
      </c>
      <c r="O2" s="545">
        <v>10</v>
      </c>
      <c r="P2" s="545">
        <v>11</v>
      </c>
      <c r="Q2" s="545">
        <v>12</v>
      </c>
      <c r="R2" s="545">
        <v>13</v>
      </c>
      <c r="S2" s="545">
        <v>14</v>
      </c>
      <c r="T2" s="545">
        <v>15</v>
      </c>
      <c r="U2" s="545">
        <v>16</v>
      </c>
      <c r="V2" s="545">
        <v>17</v>
      </c>
      <c r="W2" s="545">
        <v>18</v>
      </c>
      <c r="X2" s="545">
        <v>19</v>
      </c>
      <c r="Y2" s="545">
        <v>20</v>
      </c>
      <c r="Z2" s="545">
        <v>21</v>
      </c>
      <c r="AA2" s="545">
        <v>22</v>
      </c>
      <c r="AB2" s="545">
        <v>23</v>
      </c>
      <c r="AC2" s="580">
        <v>24</v>
      </c>
      <c r="AD2" s="345" t="s">
        <v>21</v>
      </c>
      <c r="AE2" s="347" t="s">
        <v>205</v>
      </c>
      <c r="AF2" s="550" t="s">
        <v>10</v>
      </c>
    </row>
    <row r="3" spans="1:75" s="339" customFormat="1" ht="12.75" customHeight="1" x14ac:dyDescent="0.2">
      <c r="A3" s="552" t="s">
        <v>63</v>
      </c>
      <c r="B3" s="553" t="s">
        <v>62</v>
      </c>
      <c r="C3" s="476" t="s">
        <v>152</v>
      </c>
      <c r="D3" s="668"/>
      <c r="E3" s="668"/>
      <c r="F3" s="599">
        <v>60</v>
      </c>
      <c r="G3" s="599">
        <v>50</v>
      </c>
      <c r="H3" s="599">
        <v>50</v>
      </c>
      <c r="I3" s="599">
        <v>50</v>
      </c>
      <c r="J3" s="599">
        <v>50</v>
      </c>
      <c r="K3" s="599">
        <v>50</v>
      </c>
      <c r="L3" s="599">
        <v>0</v>
      </c>
      <c r="M3" s="599">
        <v>0</v>
      </c>
      <c r="N3" s="599">
        <v>10</v>
      </c>
      <c r="O3" s="599">
        <v>40</v>
      </c>
      <c r="P3" s="599">
        <v>80</v>
      </c>
      <c r="Q3" s="599">
        <v>110</v>
      </c>
      <c r="R3" s="599">
        <v>130</v>
      </c>
      <c r="S3" s="599">
        <v>150</v>
      </c>
      <c r="T3" s="599">
        <v>150</v>
      </c>
      <c r="U3" s="599">
        <v>150</v>
      </c>
      <c r="V3" s="599">
        <v>150</v>
      </c>
      <c r="W3" s="599">
        <v>150</v>
      </c>
      <c r="X3" s="599">
        <v>150</v>
      </c>
      <c r="Y3" s="599">
        <v>130</v>
      </c>
      <c r="Z3" s="599">
        <v>110</v>
      </c>
      <c r="AA3" s="599">
        <v>100</v>
      </c>
      <c r="AB3" s="599">
        <v>150</v>
      </c>
      <c r="AC3" s="599">
        <v>115</v>
      </c>
      <c r="AD3" s="571">
        <f>SUM(F3:AC3)</f>
        <v>2185</v>
      </c>
      <c r="AE3" s="511">
        <f t="shared" ref="AE3:AE20" si="0">AD3*D3</f>
        <v>0</v>
      </c>
      <c r="AF3" s="475" t="str">
        <f t="shared" ref="AF3:AF20" si="1">IF(AD3&lt;0,"buy","sell")</f>
        <v>sell</v>
      </c>
      <c r="AG3" s="339">
        <v>120</v>
      </c>
      <c r="AH3" s="339">
        <v>0</v>
      </c>
      <c r="AI3" s="339">
        <v>0</v>
      </c>
      <c r="AJ3" s="339">
        <v>140</v>
      </c>
      <c r="AK3" s="339">
        <v>0</v>
      </c>
      <c r="AL3" s="339">
        <v>0</v>
      </c>
      <c r="AM3" s="339">
        <v>150</v>
      </c>
      <c r="AN3" s="339">
        <v>0</v>
      </c>
      <c r="AO3" s="339">
        <v>0</v>
      </c>
      <c r="AP3" s="339">
        <v>150</v>
      </c>
      <c r="AQ3" s="339">
        <v>0</v>
      </c>
      <c r="AR3" s="339">
        <v>0</v>
      </c>
      <c r="AS3" s="339">
        <v>150</v>
      </c>
      <c r="AT3" s="339">
        <v>0</v>
      </c>
      <c r="AU3" s="339">
        <v>0</v>
      </c>
      <c r="AV3" s="339">
        <v>150</v>
      </c>
      <c r="AW3" s="339">
        <v>0</v>
      </c>
      <c r="AX3" s="339">
        <v>0</v>
      </c>
      <c r="AY3" s="339">
        <v>150</v>
      </c>
      <c r="AZ3" s="339">
        <v>0</v>
      </c>
      <c r="BA3" s="339">
        <v>0</v>
      </c>
      <c r="BB3" s="339">
        <v>150</v>
      </c>
      <c r="BC3" s="339">
        <v>0</v>
      </c>
      <c r="BD3" s="339">
        <v>0</v>
      </c>
      <c r="BE3" s="339">
        <v>150</v>
      </c>
      <c r="BF3" s="339">
        <v>0</v>
      </c>
      <c r="BG3" s="339">
        <v>0</v>
      </c>
      <c r="BH3" s="339">
        <v>150</v>
      </c>
      <c r="BI3" s="339">
        <v>0</v>
      </c>
      <c r="BJ3" s="339">
        <v>0</v>
      </c>
      <c r="BK3" s="339">
        <v>150</v>
      </c>
      <c r="BL3" s="339">
        <v>0</v>
      </c>
      <c r="BM3" s="339">
        <v>0</v>
      </c>
      <c r="BN3" s="339">
        <v>130</v>
      </c>
      <c r="BO3" s="339">
        <v>0</v>
      </c>
      <c r="BP3" s="339">
        <v>0</v>
      </c>
      <c r="BQ3" s="339">
        <v>110</v>
      </c>
      <c r="BR3" s="339">
        <v>0</v>
      </c>
      <c r="BS3" s="339">
        <v>0</v>
      </c>
      <c r="BT3" s="339">
        <v>90</v>
      </c>
      <c r="BU3" s="339">
        <v>0</v>
      </c>
      <c r="BV3" s="339">
        <v>0</v>
      </c>
      <c r="BW3" s="348">
        <v>150</v>
      </c>
    </row>
    <row r="4" spans="1:75" s="339" customFormat="1" ht="12.75" customHeight="1" x14ac:dyDescent="0.2">
      <c r="A4" s="552" t="s">
        <v>65</v>
      </c>
      <c r="B4" s="553" t="s">
        <v>62</v>
      </c>
      <c r="C4" s="476" t="s">
        <v>361</v>
      </c>
      <c r="D4" s="668"/>
      <c r="E4" s="668"/>
      <c r="F4" s="599">
        <v>25</v>
      </c>
      <c r="G4" s="599">
        <v>25</v>
      </c>
      <c r="H4" s="599">
        <v>25</v>
      </c>
      <c r="I4" s="599">
        <v>25</v>
      </c>
      <c r="J4" s="599">
        <v>25</v>
      </c>
      <c r="K4" s="599">
        <v>25</v>
      </c>
      <c r="L4" s="599">
        <v>25</v>
      </c>
      <c r="M4" s="599">
        <v>25</v>
      </c>
      <c r="N4" s="599">
        <v>25</v>
      </c>
      <c r="O4" s="599">
        <v>25</v>
      </c>
      <c r="P4" s="599">
        <v>25</v>
      </c>
      <c r="Q4" s="599">
        <v>25</v>
      </c>
      <c r="R4" s="599">
        <v>25</v>
      </c>
      <c r="S4" s="599">
        <v>25</v>
      </c>
      <c r="T4" s="599">
        <v>25</v>
      </c>
      <c r="U4" s="599">
        <v>25</v>
      </c>
      <c r="V4" s="599">
        <v>25</v>
      </c>
      <c r="W4" s="599">
        <v>25</v>
      </c>
      <c r="X4" s="599">
        <v>25</v>
      </c>
      <c r="Y4" s="599">
        <v>25</v>
      </c>
      <c r="Z4" s="599">
        <v>25</v>
      </c>
      <c r="AA4" s="599">
        <v>25</v>
      </c>
      <c r="AB4" s="599">
        <v>25</v>
      </c>
      <c r="AC4" s="599">
        <v>25</v>
      </c>
      <c r="AD4" s="571">
        <f>SUM(F4:AC4)</f>
        <v>600</v>
      </c>
      <c r="AE4" s="511">
        <f t="shared" si="0"/>
        <v>0</v>
      </c>
      <c r="AF4" s="475" t="str">
        <f t="shared" si="1"/>
        <v>sell</v>
      </c>
    </row>
    <row r="5" spans="1:75" s="339" customFormat="1" ht="12.75" customHeight="1" x14ac:dyDescent="0.2">
      <c r="A5" s="552" t="s">
        <v>64</v>
      </c>
      <c r="B5" s="476" t="s">
        <v>61</v>
      </c>
      <c r="C5" s="476" t="s">
        <v>279</v>
      </c>
      <c r="D5" s="668"/>
      <c r="E5" s="668"/>
      <c r="F5" s="599">
        <v>1</v>
      </c>
      <c r="G5" s="599">
        <v>1</v>
      </c>
      <c r="H5" s="599">
        <v>1</v>
      </c>
      <c r="I5" s="599">
        <v>1</v>
      </c>
      <c r="J5" s="599">
        <v>1</v>
      </c>
      <c r="K5" s="599">
        <v>1</v>
      </c>
      <c r="L5" s="599">
        <v>1</v>
      </c>
      <c r="M5" s="599">
        <v>1</v>
      </c>
      <c r="N5" s="599">
        <v>1</v>
      </c>
      <c r="O5" s="599">
        <v>16</v>
      </c>
      <c r="P5" s="599">
        <v>16</v>
      </c>
      <c r="Q5" s="599">
        <v>16</v>
      </c>
      <c r="R5" s="599">
        <v>16</v>
      </c>
      <c r="S5" s="599">
        <v>16</v>
      </c>
      <c r="T5" s="599">
        <v>16</v>
      </c>
      <c r="U5" s="599">
        <v>16</v>
      </c>
      <c r="V5" s="599">
        <v>16</v>
      </c>
      <c r="W5" s="599">
        <v>16</v>
      </c>
      <c r="X5" s="599">
        <v>16</v>
      </c>
      <c r="Y5" s="599">
        <v>16</v>
      </c>
      <c r="Z5" s="599">
        <v>16</v>
      </c>
      <c r="AA5" s="599">
        <v>16</v>
      </c>
      <c r="AB5" s="599">
        <v>16</v>
      </c>
      <c r="AC5" s="599">
        <v>1</v>
      </c>
      <c r="AD5" s="571">
        <f t="shared" ref="AD5:AD14" si="2">SUM(E5:AC5)</f>
        <v>234</v>
      </c>
      <c r="AE5" s="511">
        <f t="shared" si="0"/>
        <v>0</v>
      </c>
      <c r="AF5" s="475" t="str">
        <f t="shared" si="1"/>
        <v>sell</v>
      </c>
    </row>
    <row r="6" spans="1:75" s="339" customFormat="1" ht="12.75" customHeight="1" x14ac:dyDescent="0.2">
      <c r="A6" s="553"/>
      <c r="B6" s="544"/>
      <c r="C6" s="543"/>
      <c r="D6" s="669"/>
      <c r="E6" s="668"/>
      <c r="F6" s="599"/>
      <c r="G6" s="599"/>
      <c r="H6" s="599"/>
      <c r="I6" s="599"/>
      <c r="J6" s="599"/>
      <c r="K6" s="599"/>
      <c r="L6" s="599"/>
      <c r="M6" s="599"/>
      <c r="N6" s="599"/>
      <c r="O6" s="599"/>
      <c r="P6" s="599"/>
      <c r="Q6" s="599"/>
      <c r="R6" s="599"/>
      <c r="S6" s="599"/>
      <c r="T6" s="660"/>
      <c r="U6" s="599"/>
      <c r="V6" s="660"/>
      <c r="W6" s="660"/>
      <c r="X6" s="660"/>
      <c r="Y6" s="660"/>
      <c r="Z6" s="660"/>
      <c r="AA6" s="660"/>
      <c r="AB6" s="660"/>
      <c r="AC6" s="599"/>
      <c r="AD6" s="571">
        <f t="shared" si="2"/>
        <v>0</v>
      </c>
      <c r="AE6" s="511">
        <f t="shared" si="0"/>
        <v>0</v>
      </c>
      <c r="AF6" s="475" t="str">
        <f t="shared" si="1"/>
        <v>sell</v>
      </c>
    </row>
    <row r="7" spans="1:75" s="339" customFormat="1" ht="12.75" customHeight="1" x14ac:dyDescent="0.2">
      <c r="A7" s="553" t="s">
        <v>3</v>
      </c>
      <c r="B7" s="476"/>
      <c r="C7" s="476" t="s">
        <v>263</v>
      </c>
      <c r="D7" s="668"/>
      <c r="E7" s="660"/>
      <c r="F7" s="599">
        <v>-103</v>
      </c>
      <c r="G7" s="599">
        <v>-103</v>
      </c>
      <c r="H7" s="599">
        <v>-103</v>
      </c>
      <c r="I7" s="599">
        <v>-103</v>
      </c>
      <c r="J7" s="599">
        <v>-103</v>
      </c>
      <c r="K7" s="599">
        <v>-103</v>
      </c>
      <c r="L7" s="599">
        <v>-103</v>
      </c>
      <c r="M7" s="599">
        <v>-103</v>
      </c>
      <c r="N7" s="599">
        <v>-103</v>
      </c>
      <c r="O7" s="599">
        <v>-103</v>
      </c>
      <c r="P7" s="599">
        <v>-103</v>
      </c>
      <c r="Q7" s="599">
        <v>-103</v>
      </c>
      <c r="R7" s="599">
        <v>-103</v>
      </c>
      <c r="S7" s="599">
        <v>-103</v>
      </c>
      <c r="T7" s="599">
        <v>-103</v>
      </c>
      <c r="U7" s="599">
        <v>-103</v>
      </c>
      <c r="V7" s="599">
        <v>-103</v>
      </c>
      <c r="W7" s="599">
        <v>-103</v>
      </c>
      <c r="X7" s="599">
        <v>-103</v>
      </c>
      <c r="Y7" s="599">
        <v>-103</v>
      </c>
      <c r="Z7" s="599">
        <v>-103</v>
      </c>
      <c r="AA7" s="599">
        <v>-103</v>
      </c>
      <c r="AB7" s="599">
        <v>-103</v>
      </c>
      <c r="AC7" s="599">
        <v>-103</v>
      </c>
      <c r="AD7" s="521">
        <f t="shared" si="2"/>
        <v>-2472</v>
      </c>
      <c r="AE7" s="511">
        <f t="shared" si="0"/>
        <v>0</v>
      </c>
      <c r="AF7" s="475" t="str">
        <f t="shared" si="1"/>
        <v>buy</v>
      </c>
    </row>
    <row r="8" spans="1:75" s="339" customFormat="1" ht="12.75" customHeight="1" x14ac:dyDescent="0.2">
      <c r="A8" s="553" t="s">
        <v>364</v>
      </c>
      <c r="B8" s="476"/>
      <c r="C8" s="543" t="s">
        <v>263</v>
      </c>
      <c r="D8" s="668"/>
      <c r="E8" s="660"/>
      <c r="F8" s="599"/>
      <c r="G8" s="599"/>
      <c r="H8" s="599"/>
      <c r="I8" s="599"/>
      <c r="J8" s="599"/>
      <c r="K8" s="599"/>
      <c r="L8" s="599"/>
      <c r="M8" s="599"/>
      <c r="N8" s="599"/>
      <c r="O8" s="599"/>
      <c r="P8" s="599"/>
      <c r="Q8" s="599"/>
      <c r="R8" s="599"/>
      <c r="S8" s="599"/>
      <c r="T8" s="599"/>
      <c r="U8" s="599"/>
      <c r="V8" s="599"/>
      <c r="W8" s="599"/>
      <c r="X8" s="599"/>
      <c r="Y8" s="599"/>
      <c r="Z8" s="599"/>
      <c r="AA8" s="599"/>
      <c r="AB8" s="599"/>
      <c r="AC8" s="599"/>
      <c r="AD8" s="521">
        <f>SUM(E8:AC8)</f>
        <v>0</v>
      </c>
      <c r="AE8" s="511">
        <f t="shared" si="0"/>
        <v>0</v>
      </c>
      <c r="AF8" s="475" t="str">
        <f t="shared" si="1"/>
        <v>sell</v>
      </c>
    </row>
    <row r="9" spans="1:75" s="339" customFormat="1" ht="12.75" customHeight="1" x14ac:dyDescent="0.2">
      <c r="A9" s="553" t="s">
        <v>364</v>
      </c>
      <c r="B9" s="476"/>
      <c r="C9" s="543" t="s">
        <v>263</v>
      </c>
      <c r="D9" s="668"/>
      <c r="E9" s="660"/>
      <c r="F9" s="684"/>
      <c r="G9" s="684"/>
      <c r="H9" s="684"/>
      <c r="I9" s="684"/>
      <c r="J9" s="684"/>
      <c r="K9" s="684"/>
      <c r="L9" s="684"/>
      <c r="M9" s="684"/>
      <c r="N9" s="684"/>
      <c r="O9" s="684"/>
      <c r="P9" s="684"/>
      <c r="Q9" s="684"/>
      <c r="R9" s="684"/>
      <c r="S9" s="684"/>
      <c r="T9" s="684"/>
      <c r="U9" s="684"/>
      <c r="V9" s="684"/>
      <c r="W9" s="684"/>
      <c r="X9" s="684"/>
      <c r="Y9" s="684"/>
      <c r="Z9" s="684"/>
      <c r="AA9" s="684"/>
      <c r="AB9" s="599"/>
      <c r="AC9" s="684"/>
      <c r="AD9" s="521">
        <f>SUM(E9:AC9)</f>
        <v>0</v>
      </c>
      <c r="AE9" s="511">
        <f t="shared" si="0"/>
        <v>0</v>
      </c>
      <c r="AF9" s="475" t="str">
        <f t="shared" si="1"/>
        <v>sell</v>
      </c>
    </row>
    <row r="10" spans="1:75" s="339" customFormat="1" ht="12.75" customHeight="1" x14ac:dyDescent="0.2">
      <c r="A10" s="553"/>
      <c r="B10" s="476"/>
      <c r="C10" s="543"/>
      <c r="D10" s="668"/>
      <c r="E10" s="660"/>
      <c r="F10" s="599"/>
      <c r="G10" s="599"/>
      <c r="H10" s="599"/>
      <c r="I10" s="599"/>
      <c r="J10" s="599"/>
      <c r="K10" s="599"/>
      <c r="L10" s="599"/>
      <c r="M10" s="599"/>
      <c r="N10" s="599"/>
      <c r="O10" s="599"/>
      <c r="P10" s="599"/>
      <c r="Q10" s="599"/>
      <c r="R10" s="599"/>
      <c r="S10" s="599"/>
      <c r="T10" s="599"/>
      <c r="U10" s="599"/>
      <c r="V10" s="599"/>
      <c r="W10" s="599"/>
      <c r="X10" s="599"/>
      <c r="Y10" s="599"/>
      <c r="Z10" s="599"/>
      <c r="AA10" s="599"/>
      <c r="AB10" s="599"/>
      <c r="AC10" s="599"/>
      <c r="AD10" s="521">
        <f t="shared" si="2"/>
        <v>0</v>
      </c>
      <c r="AE10" s="511">
        <f t="shared" si="0"/>
        <v>0</v>
      </c>
      <c r="AF10" s="475" t="str">
        <f t="shared" si="1"/>
        <v>sell</v>
      </c>
    </row>
    <row r="11" spans="1:75" s="339" customFormat="1" ht="12.75" customHeight="1" x14ac:dyDescent="0.2">
      <c r="A11" s="553" t="s">
        <v>363</v>
      </c>
      <c r="B11" s="476"/>
      <c r="C11" s="543" t="s">
        <v>152</v>
      </c>
      <c r="D11" s="668"/>
      <c r="E11" s="668"/>
      <c r="F11" s="599">
        <v>60</v>
      </c>
      <c r="G11" s="599">
        <v>60</v>
      </c>
      <c r="H11" s="599">
        <v>60</v>
      </c>
      <c r="I11" s="599">
        <v>60</v>
      </c>
      <c r="J11" s="599">
        <v>60</v>
      </c>
      <c r="K11" s="599">
        <v>60</v>
      </c>
      <c r="L11" s="599"/>
      <c r="M11" s="599"/>
      <c r="N11" s="599"/>
      <c r="O11" s="599"/>
      <c r="P11" s="599"/>
      <c r="Q11" s="599"/>
      <c r="R11" s="599"/>
      <c r="S11" s="599"/>
      <c r="T11" s="599"/>
      <c r="U11" s="599"/>
      <c r="V11" s="599"/>
      <c r="W11" s="599"/>
      <c r="X11" s="599"/>
      <c r="Y11" s="599"/>
      <c r="Z11" s="599"/>
      <c r="AA11" s="599"/>
      <c r="AB11" s="599">
        <v>60</v>
      </c>
      <c r="AC11" s="599">
        <v>60</v>
      </c>
      <c r="AD11" s="573">
        <f>SUM(E11:AC11)</f>
        <v>480</v>
      </c>
      <c r="AE11" s="511">
        <f t="shared" si="0"/>
        <v>0</v>
      </c>
      <c r="AF11" s="475" t="str">
        <f t="shared" si="1"/>
        <v>sell</v>
      </c>
    </row>
    <row r="12" spans="1:75" s="339" customFormat="1" ht="12.75" customHeight="1" x14ac:dyDescent="0.2">
      <c r="A12" s="574" t="s">
        <v>367</v>
      </c>
      <c r="B12" s="543"/>
      <c r="C12" s="543" t="s">
        <v>152</v>
      </c>
      <c r="D12" s="669">
        <v>61.75</v>
      </c>
      <c r="E12" s="668"/>
      <c r="F12" s="599">
        <v>3</v>
      </c>
      <c r="G12" s="599">
        <v>3</v>
      </c>
      <c r="H12" s="599">
        <v>3</v>
      </c>
      <c r="I12" s="599">
        <v>3</v>
      </c>
      <c r="J12" s="599">
        <v>3</v>
      </c>
      <c r="K12" s="599">
        <v>3</v>
      </c>
      <c r="L12" s="599"/>
      <c r="M12" s="599"/>
      <c r="N12" s="599"/>
      <c r="O12" s="599"/>
      <c r="P12" s="599"/>
      <c r="Q12" s="599"/>
      <c r="R12" s="599"/>
      <c r="S12" s="599"/>
      <c r="T12" s="599"/>
      <c r="U12" s="599"/>
      <c r="V12" s="599"/>
      <c r="W12" s="599"/>
      <c r="X12" s="599"/>
      <c r="Y12" s="599"/>
      <c r="Z12" s="599"/>
      <c r="AA12" s="599"/>
      <c r="AB12" s="599">
        <v>3</v>
      </c>
      <c r="AC12" s="599">
        <v>3</v>
      </c>
      <c r="AD12" s="573">
        <f t="shared" si="2"/>
        <v>24</v>
      </c>
      <c r="AE12" s="511">
        <f t="shared" si="0"/>
        <v>1482</v>
      </c>
      <c r="AF12" s="475" t="str">
        <f t="shared" si="1"/>
        <v>sell</v>
      </c>
    </row>
    <row r="13" spans="1:75" s="339" customFormat="1" ht="12.75" customHeight="1" x14ac:dyDescent="0.2">
      <c r="A13" s="574" t="s">
        <v>373</v>
      </c>
      <c r="B13" s="543"/>
      <c r="C13" s="543" t="s">
        <v>152</v>
      </c>
      <c r="D13" s="669">
        <v>61.75</v>
      </c>
      <c r="E13" s="668"/>
      <c r="F13" s="599">
        <v>25</v>
      </c>
      <c r="G13" s="599">
        <v>25</v>
      </c>
      <c r="H13" s="599">
        <v>25</v>
      </c>
      <c r="I13" s="599">
        <v>25</v>
      </c>
      <c r="J13" s="599">
        <v>25</v>
      </c>
      <c r="K13" s="599">
        <v>25</v>
      </c>
      <c r="L13" s="599"/>
      <c r="M13" s="599"/>
      <c r="N13" s="599"/>
      <c r="O13" s="599"/>
      <c r="P13" s="599"/>
      <c r="Q13" s="599"/>
      <c r="R13" s="599"/>
      <c r="S13" s="599"/>
      <c r="T13" s="599"/>
      <c r="U13" s="599"/>
      <c r="V13" s="599"/>
      <c r="W13" s="599"/>
      <c r="X13" s="599"/>
      <c r="Y13" s="599"/>
      <c r="Z13" s="599"/>
      <c r="AA13" s="599"/>
      <c r="AB13" s="599">
        <v>25</v>
      </c>
      <c r="AC13" s="599">
        <v>25</v>
      </c>
      <c r="AD13" s="573">
        <f>SUM(E13:AC13)</f>
        <v>200</v>
      </c>
      <c r="AE13" s="511">
        <f>AD13*D13</f>
        <v>12350</v>
      </c>
      <c r="AF13" s="475" t="str">
        <f>IF(AD13&lt;0,"buy","sell")</f>
        <v>sell</v>
      </c>
    </row>
    <row r="14" spans="1:75" s="339" customFormat="1" ht="12.75" customHeight="1" x14ac:dyDescent="0.2">
      <c r="A14" s="574" t="s">
        <v>373</v>
      </c>
      <c r="B14" s="543"/>
      <c r="C14" s="543" t="s">
        <v>152</v>
      </c>
      <c r="D14" s="669">
        <v>61.75</v>
      </c>
      <c r="E14" s="668"/>
      <c r="F14" s="599">
        <v>15</v>
      </c>
      <c r="G14" s="599">
        <v>15</v>
      </c>
      <c r="H14" s="599">
        <v>15</v>
      </c>
      <c r="I14" s="599">
        <v>15</v>
      </c>
      <c r="J14" s="599">
        <v>15</v>
      </c>
      <c r="K14" s="599">
        <v>15</v>
      </c>
      <c r="L14" s="599"/>
      <c r="M14" s="599"/>
      <c r="N14" s="599"/>
      <c r="O14" s="599"/>
      <c r="P14" s="599"/>
      <c r="Q14" s="599"/>
      <c r="R14" s="599"/>
      <c r="S14" s="599"/>
      <c r="T14" s="599"/>
      <c r="U14" s="599"/>
      <c r="V14" s="599"/>
      <c r="W14" s="599"/>
      <c r="X14" s="599"/>
      <c r="Y14" s="599"/>
      <c r="Z14" s="599"/>
      <c r="AA14" s="599"/>
      <c r="AB14" s="599">
        <v>15</v>
      </c>
      <c r="AC14" s="599">
        <v>15</v>
      </c>
      <c r="AD14" s="571">
        <f t="shared" si="2"/>
        <v>120</v>
      </c>
      <c r="AE14" s="511">
        <f t="shared" si="0"/>
        <v>7410</v>
      </c>
      <c r="AF14" s="475" t="str">
        <f t="shared" si="1"/>
        <v>sell</v>
      </c>
    </row>
    <row r="15" spans="1:75" s="339" customFormat="1" ht="12.75" customHeight="1" x14ac:dyDescent="0.2">
      <c r="A15" s="553" t="s">
        <v>229</v>
      </c>
      <c r="B15" s="574"/>
      <c r="C15" s="543" t="s">
        <v>280</v>
      </c>
      <c r="D15" s="670"/>
      <c r="E15" s="668"/>
      <c r="F15" s="599">
        <v>60</v>
      </c>
      <c r="G15" s="599">
        <v>60</v>
      </c>
      <c r="H15" s="599">
        <v>60</v>
      </c>
      <c r="I15" s="599">
        <v>60</v>
      </c>
      <c r="J15" s="599">
        <v>60</v>
      </c>
      <c r="K15" s="599">
        <v>60</v>
      </c>
      <c r="L15" s="599">
        <v>60</v>
      </c>
      <c r="M15" s="599">
        <v>60</v>
      </c>
      <c r="N15" s="599">
        <v>60</v>
      </c>
      <c r="O15" s="599">
        <v>60</v>
      </c>
      <c r="P15" s="599">
        <v>60</v>
      </c>
      <c r="Q15" s="599">
        <v>60</v>
      </c>
      <c r="R15" s="599">
        <v>60</v>
      </c>
      <c r="S15" s="599">
        <v>60</v>
      </c>
      <c r="T15" s="599">
        <v>60</v>
      </c>
      <c r="U15" s="599">
        <v>60</v>
      </c>
      <c r="V15" s="599">
        <v>60</v>
      </c>
      <c r="W15" s="599">
        <v>60</v>
      </c>
      <c r="X15" s="599">
        <v>60</v>
      </c>
      <c r="Y15" s="599">
        <v>60</v>
      </c>
      <c r="Z15" s="599">
        <v>60</v>
      </c>
      <c r="AA15" s="599">
        <v>60</v>
      </c>
      <c r="AB15" s="599">
        <v>60</v>
      </c>
      <c r="AC15" s="599">
        <v>60</v>
      </c>
      <c r="AD15" s="571">
        <f>SUM(F15:AC15)</f>
        <v>1440</v>
      </c>
      <c r="AE15" s="511">
        <f t="shared" si="0"/>
        <v>0</v>
      </c>
      <c r="AF15" s="475" t="str">
        <f t="shared" si="1"/>
        <v>sell</v>
      </c>
    </row>
    <row r="16" spans="1:75" s="339" customFormat="1" ht="12.75" customHeight="1" x14ac:dyDescent="0.2">
      <c r="A16" s="553" t="s">
        <v>229</v>
      </c>
      <c r="B16" s="574"/>
      <c r="C16" s="543" t="s">
        <v>152</v>
      </c>
      <c r="D16" s="670"/>
      <c r="E16" s="668"/>
      <c r="F16" s="599"/>
      <c r="G16" s="599"/>
      <c r="H16" s="599"/>
      <c r="I16" s="599"/>
      <c r="J16" s="599"/>
      <c r="K16" s="599"/>
      <c r="L16" s="599">
        <v>-28</v>
      </c>
      <c r="M16" s="599">
        <v>-28</v>
      </c>
      <c r="N16" s="599">
        <v>-28</v>
      </c>
      <c r="O16" s="599">
        <v>-28</v>
      </c>
      <c r="P16" s="599">
        <v>-28</v>
      </c>
      <c r="Q16" s="599">
        <v>-28</v>
      </c>
      <c r="R16" s="599">
        <v>-28</v>
      </c>
      <c r="S16" s="599">
        <v>-28</v>
      </c>
      <c r="T16" s="599">
        <v>-28</v>
      </c>
      <c r="U16" s="599">
        <v>-28</v>
      </c>
      <c r="V16" s="599">
        <v>-28</v>
      </c>
      <c r="W16" s="599">
        <v>-28</v>
      </c>
      <c r="X16" s="599">
        <v>-28</v>
      </c>
      <c r="Y16" s="599">
        <v>-28</v>
      </c>
      <c r="Z16" s="599">
        <v>-28</v>
      </c>
      <c r="AA16" s="599">
        <v>-28</v>
      </c>
      <c r="AB16" s="599"/>
      <c r="AC16" s="599"/>
      <c r="AD16" s="571">
        <f>SUM(E16:AC16)</f>
        <v>-448</v>
      </c>
      <c r="AE16" s="511">
        <f>AD16*D16</f>
        <v>0</v>
      </c>
      <c r="AF16" s="475" t="str">
        <f>IF(AD16&lt;0,"buy","sell")</f>
        <v>buy</v>
      </c>
    </row>
    <row r="17" spans="1:32" s="339" customFormat="1" ht="12.75" customHeight="1" x14ac:dyDescent="0.2">
      <c r="A17" s="553" t="s">
        <v>3</v>
      </c>
      <c r="B17" s="574"/>
      <c r="C17" s="543" t="s">
        <v>152</v>
      </c>
      <c r="D17" s="670"/>
      <c r="E17" s="668"/>
      <c r="F17" s="599"/>
      <c r="G17" s="599"/>
      <c r="H17" s="599"/>
      <c r="I17" s="599"/>
      <c r="J17" s="599"/>
      <c r="K17" s="599"/>
      <c r="L17" s="599">
        <v>-20</v>
      </c>
      <c r="M17" s="599">
        <v>-20</v>
      </c>
      <c r="N17" s="599">
        <v>-20</v>
      </c>
      <c r="O17" s="599">
        <v>-20</v>
      </c>
      <c r="P17" s="599">
        <v>-20</v>
      </c>
      <c r="Q17" s="599">
        <v>-20</v>
      </c>
      <c r="R17" s="599">
        <v>-20</v>
      </c>
      <c r="S17" s="599">
        <v>-20</v>
      </c>
      <c r="T17" s="599">
        <v>-20</v>
      </c>
      <c r="U17" s="599">
        <v>-20</v>
      </c>
      <c r="V17" s="599">
        <v>-20</v>
      </c>
      <c r="W17" s="599">
        <v>-20</v>
      </c>
      <c r="X17" s="599">
        <v>-20</v>
      </c>
      <c r="Y17" s="599">
        <v>-20</v>
      </c>
      <c r="Z17" s="599">
        <v>-20</v>
      </c>
      <c r="AA17" s="599">
        <v>-20</v>
      </c>
      <c r="AB17" s="599"/>
      <c r="AC17" s="599"/>
      <c r="AD17" s="571">
        <f>SUM(E17:AC17)</f>
        <v>-320</v>
      </c>
      <c r="AE17" s="511">
        <f>AD17*D17</f>
        <v>0</v>
      </c>
      <c r="AF17" s="475" t="str">
        <f>IF(AD17&lt;0,"buy","sell")</f>
        <v>buy</v>
      </c>
    </row>
    <row r="18" spans="1:32" s="339" customFormat="1" ht="12.75" customHeight="1" x14ac:dyDescent="0.2">
      <c r="A18" s="553" t="s">
        <v>3</v>
      </c>
      <c r="B18" s="574"/>
      <c r="C18" s="543" t="s">
        <v>152</v>
      </c>
      <c r="D18" s="670"/>
      <c r="E18" s="668"/>
      <c r="F18" s="599"/>
      <c r="G18" s="599"/>
      <c r="H18" s="599"/>
      <c r="I18" s="599"/>
      <c r="J18" s="599"/>
      <c r="K18" s="599"/>
      <c r="L18" s="599">
        <v>-12</v>
      </c>
      <c r="M18" s="599">
        <v>-12</v>
      </c>
      <c r="N18" s="599">
        <v>-12</v>
      </c>
      <c r="O18" s="599">
        <v>-12</v>
      </c>
      <c r="P18" s="599">
        <v>-12</v>
      </c>
      <c r="Q18" s="599">
        <v>-12</v>
      </c>
      <c r="R18" s="599">
        <v>-12</v>
      </c>
      <c r="S18" s="599">
        <v>-12</v>
      </c>
      <c r="T18" s="599">
        <v>-12</v>
      </c>
      <c r="U18" s="599">
        <v>-12</v>
      </c>
      <c r="V18" s="599">
        <v>-12</v>
      </c>
      <c r="W18" s="599">
        <v>-12</v>
      </c>
      <c r="X18" s="599">
        <v>-12</v>
      </c>
      <c r="Y18" s="599">
        <v>-12</v>
      </c>
      <c r="Z18" s="599">
        <v>-12</v>
      </c>
      <c r="AA18" s="599">
        <v>-12</v>
      </c>
      <c r="AB18" s="599"/>
      <c r="AC18" s="599"/>
      <c r="AD18" s="571">
        <f>SUM(E18:AC18)</f>
        <v>-192</v>
      </c>
      <c r="AE18" s="511">
        <f>AD18*D18</f>
        <v>0</v>
      </c>
      <c r="AF18" s="475" t="str">
        <f>IF(AD18&lt;0,"buy","sell")</f>
        <v>buy</v>
      </c>
    </row>
    <row r="19" spans="1:32" s="339" customFormat="1" ht="12.75" customHeight="1" x14ac:dyDescent="0.2">
      <c r="A19" s="553" t="s">
        <v>363</v>
      </c>
      <c r="B19" s="574"/>
      <c r="C19" s="543" t="s">
        <v>152</v>
      </c>
      <c r="D19" s="670"/>
      <c r="E19" s="668"/>
      <c r="F19" s="599">
        <v>-60</v>
      </c>
      <c r="G19" s="599">
        <v>-60</v>
      </c>
      <c r="H19" s="599">
        <v>-60</v>
      </c>
      <c r="I19" s="599">
        <v>-60</v>
      </c>
      <c r="J19" s="599">
        <v>-60</v>
      </c>
      <c r="K19" s="599">
        <v>-60</v>
      </c>
      <c r="L19" s="599"/>
      <c r="M19" s="599"/>
      <c r="N19" s="599"/>
      <c r="O19" s="599"/>
      <c r="P19" s="599"/>
      <c r="Q19" s="599"/>
      <c r="R19" s="599"/>
      <c r="S19" s="599"/>
      <c r="T19" s="599"/>
      <c r="U19" s="599"/>
      <c r="V19" s="599"/>
      <c r="W19" s="599"/>
      <c r="X19" s="599"/>
      <c r="Y19" s="599"/>
      <c r="Z19" s="599"/>
      <c r="AA19" s="599"/>
      <c r="AB19" s="599">
        <v>-60</v>
      </c>
      <c r="AC19" s="599">
        <v>-60</v>
      </c>
      <c r="AD19" s="571">
        <f>SUM(E19:AC19)</f>
        <v>-480</v>
      </c>
      <c r="AE19" s="511">
        <f>AD19*D19</f>
        <v>0</v>
      </c>
      <c r="AF19" s="475" t="str">
        <f>IF(AD19&lt;0,"buy","sell")</f>
        <v>buy</v>
      </c>
    </row>
    <row r="20" spans="1:32" s="339" customFormat="1" ht="12.75" customHeight="1" x14ac:dyDescent="0.2">
      <c r="A20" s="553"/>
      <c r="B20" s="553"/>
      <c r="C20" s="476"/>
      <c r="D20" s="670"/>
      <c r="E20" s="668"/>
      <c r="F20" s="599"/>
      <c r="G20" s="599"/>
      <c r="H20" s="599"/>
      <c r="I20" s="599"/>
      <c r="J20" s="599"/>
      <c r="K20" s="599"/>
      <c r="L20" s="599"/>
      <c r="M20" s="599"/>
      <c r="N20" s="599"/>
      <c r="O20" s="599"/>
      <c r="P20" s="599"/>
      <c r="Q20" s="599"/>
      <c r="R20" s="599"/>
      <c r="S20" s="599"/>
      <c r="T20" s="599"/>
      <c r="U20" s="599"/>
      <c r="V20" s="599"/>
      <c r="W20" s="599"/>
      <c r="X20" s="599"/>
      <c r="Y20" s="599"/>
      <c r="Z20" s="599"/>
      <c r="AA20" s="599"/>
      <c r="AB20" s="599"/>
      <c r="AC20" s="599"/>
      <c r="AD20" s="571">
        <f>SUM(F20:AC20)</f>
        <v>0</v>
      </c>
      <c r="AE20" s="511">
        <f t="shared" si="0"/>
        <v>0</v>
      </c>
      <c r="AF20" s="475" t="str">
        <f t="shared" si="1"/>
        <v>sell</v>
      </c>
    </row>
    <row r="21" spans="1:32" s="339" customFormat="1" x14ac:dyDescent="0.2">
      <c r="A21" s="563" t="s">
        <v>206</v>
      </c>
      <c r="B21" s="562"/>
      <c r="C21" s="562"/>
      <c r="D21" s="671"/>
      <c r="E21" s="671"/>
      <c r="F21" s="661"/>
      <c r="G21" s="661"/>
      <c r="H21" s="661"/>
      <c r="I21" s="661"/>
      <c r="J21" s="661"/>
      <c r="K21" s="661"/>
      <c r="L21" s="661"/>
      <c r="M21" s="661"/>
      <c r="N21" s="661"/>
      <c r="O21" s="661"/>
      <c r="P21" s="661"/>
      <c r="Q21" s="661"/>
      <c r="R21" s="661"/>
      <c r="S21" s="661"/>
      <c r="T21" s="661"/>
      <c r="U21" s="661"/>
      <c r="V21" s="661"/>
      <c r="W21" s="661"/>
      <c r="X21" s="661"/>
      <c r="Y21" s="661"/>
      <c r="Z21" s="661"/>
      <c r="AA21" s="661"/>
      <c r="AB21" s="661"/>
      <c r="AC21" s="661"/>
      <c r="AD21" s="519"/>
      <c r="AE21" s="382"/>
      <c r="AF21" s="551"/>
    </row>
    <row r="22" spans="1:32" s="339" customFormat="1" ht="12.75" customHeight="1" x14ac:dyDescent="0.2">
      <c r="A22" s="554" t="s">
        <v>207</v>
      </c>
      <c r="B22" s="548"/>
      <c r="C22" s="541"/>
      <c r="D22" s="600"/>
      <c r="E22" s="600"/>
      <c r="F22" s="600"/>
      <c r="G22" s="600"/>
      <c r="H22" s="600"/>
      <c r="I22" s="600"/>
      <c r="J22" s="600"/>
      <c r="K22" s="600"/>
      <c r="L22" s="600"/>
      <c r="M22" s="600"/>
      <c r="N22" s="600"/>
      <c r="O22" s="600"/>
      <c r="P22" s="600"/>
      <c r="Q22" s="600"/>
      <c r="R22" s="600"/>
      <c r="S22" s="600"/>
      <c r="T22" s="600"/>
      <c r="U22" s="600"/>
      <c r="V22" s="600"/>
      <c r="W22" s="600"/>
      <c r="X22" s="600"/>
      <c r="Y22" s="600"/>
      <c r="Z22" s="600"/>
      <c r="AA22" s="600"/>
      <c r="AB22" s="600"/>
      <c r="AC22" s="600"/>
      <c r="AD22" s="349"/>
      <c r="AE22" s="442"/>
      <c r="AF22" s="442"/>
    </row>
    <row r="23" spans="1:32" s="339" customFormat="1" hidden="1" x14ac:dyDescent="0.2">
      <c r="A23" s="555" t="s">
        <v>278</v>
      </c>
      <c r="B23" s="438" t="s">
        <v>241</v>
      </c>
      <c r="C23" s="438" t="s">
        <v>152</v>
      </c>
      <c r="D23" s="672">
        <f t="shared" ref="D23:D46" si="3">F139</f>
        <v>-0.25</v>
      </c>
      <c r="E23" s="672"/>
      <c r="F23" s="601"/>
      <c r="G23" s="646"/>
      <c r="H23" s="602"/>
      <c r="I23" s="602"/>
      <c r="J23" s="602"/>
      <c r="K23" s="602"/>
      <c r="L23" s="602"/>
      <c r="M23" s="602"/>
      <c r="N23" s="602"/>
      <c r="O23" s="602"/>
      <c r="P23" s="602"/>
      <c r="Q23" s="602"/>
      <c r="R23" s="602"/>
      <c r="S23" s="602"/>
      <c r="T23" s="602"/>
      <c r="U23" s="602"/>
      <c r="V23" s="602"/>
      <c r="W23" s="602"/>
      <c r="X23" s="602"/>
      <c r="Y23" s="602"/>
      <c r="Z23" s="602"/>
      <c r="AA23" s="602"/>
      <c r="AB23" s="602"/>
      <c r="AC23" s="601"/>
      <c r="AD23" s="520">
        <f t="shared" ref="AD23:AD120" si="4">SUM(F23:AC23)</f>
        <v>0</v>
      </c>
      <c r="AE23" s="440">
        <f t="shared" ref="AE23:AE72" si="5">AD23*D23</f>
        <v>0</v>
      </c>
      <c r="AF23" s="425" t="str">
        <f>IF(AD23&lt;0,"buy","sell")</f>
        <v>sell</v>
      </c>
    </row>
    <row r="24" spans="1:32" s="339" customFormat="1" hidden="1" x14ac:dyDescent="0.2">
      <c r="A24" s="555" t="s">
        <v>278</v>
      </c>
      <c r="B24" s="438" t="s">
        <v>241</v>
      </c>
      <c r="C24" s="438" t="s">
        <v>152</v>
      </c>
      <c r="D24" s="672">
        <f t="shared" si="3"/>
        <v>-0.25</v>
      </c>
      <c r="E24" s="672"/>
      <c r="F24" s="601"/>
      <c r="G24" s="602"/>
      <c r="H24" s="602"/>
      <c r="I24" s="602"/>
      <c r="J24" s="602"/>
      <c r="K24" s="602"/>
      <c r="L24" s="602"/>
      <c r="M24" s="602"/>
      <c r="N24" s="602"/>
      <c r="O24" s="602"/>
      <c r="P24" s="602"/>
      <c r="Q24" s="602"/>
      <c r="R24" s="602"/>
      <c r="S24" s="602"/>
      <c r="T24" s="602"/>
      <c r="U24" s="602"/>
      <c r="V24" s="602"/>
      <c r="W24" s="602"/>
      <c r="X24" s="602"/>
      <c r="Y24" s="602"/>
      <c r="Z24" s="602"/>
      <c r="AA24" s="602"/>
      <c r="AB24" s="601"/>
      <c r="AC24" s="601"/>
      <c r="AD24" s="520">
        <f t="shared" si="4"/>
        <v>0</v>
      </c>
      <c r="AE24" s="440">
        <f t="shared" si="5"/>
        <v>0</v>
      </c>
      <c r="AF24" s="425" t="str">
        <f t="shared" ref="AF24:AF46" si="6">IF(AD24&lt;0,"buy","sell")</f>
        <v>sell</v>
      </c>
    </row>
    <row r="25" spans="1:32" s="339" customFormat="1" hidden="1" x14ac:dyDescent="0.2">
      <c r="A25" s="555" t="s">
        <v>278</v>
      </c>
      <c r="B25" s="438" t="s">
        <v>241</v>
      </c>
      <c r="C25" s="438" t="s">
        <v>152</v>
      </c>
      <c r="D25" s="672">
        <f t="shared" si="3"/>
        <v>-0.25</v>
      </c>
      <c r="E25" s="672"/>
      <c r="F25" s="601"/>
      <c r="G25" s="646"/>
      <c r="H25" s="602">
        <v>0</v>
      </c>
      <c r="I25" s="602"/>
      <c r="J25" s="602"/>
      <c r="K25" s="602"/>
      <c r="L25" s="602"/>
      <c r="M25" s="602"/>
      <c r="N25" s="602"/>
      <c r="O25" s="602"/>
      <c r="P25" s="602"/>
      <c r="Q25" s="602"/>
      <c r="R25" s="602"/>
      <c r="S25" s="602"/>
      <c r="T25" s="602"/>
      <c r="U25" s="602"/>
      <c r="V25" s="602"/>
      <c r="W25" s="602"/>
      <c r="X25" s="602"/>
      <c r="Y25" s="602"/>
      <c r="Z25" s="602"/>
      <c r="AA25" s="602"/>
      <c r="AB25" s="602"/>
      <c r="AC25" s="601"/>
      <c r="AD25" s="520">
        <f t="shared" si="4"/>
        <v>0</v>
      </c>
      <c r="AE25" s="440">
        <f t="shared" si="5"/>
        <v>0</v>
      </c>
      <c r="AF25" s="425" t="str">
        <f t="shared" si="6"/>
        <v>sell</v>
      </c>
    </row>
    <row r="26" spans="1:32" s="339" customFormat="1" hidden="1" x14ac:dyDescent="0.2">
      <c r="A26" s="555" t="s">
        <v>278</v>
      </c>
      <c r="B26" s="438" t="s">
        <v>241</v>
      </c>
      <c r="C26" s="438" t="s">
        <v>152</v>
      </c>
      <c r="D26" s="672">
        <f t="shared" si="3"/>
        <v>-0.25</v>
      </c>
      <c r="E26" s="672"/>
      <c r="F26" s="601"/>
      <c r="G26" s="646"/>
      <c r="H26" s="602"/>
      <c r="I26" s="602">
        <v>0</v>
      </c>
      <c r="J26" s="602"/>
      <c r="K26" s="602"/>
      <c r="L26" s="602"/>
      <c r="M26" s="602"/>
      <c r="N26" s="602"/>
      <c r="O26" s="602"/>
      <c r="P26" s="602"/>
      <c r="Q26" s="602"/>
      <c r="R26" s="602"/>
      <c r="S26" s="602"/>
      <c r="T26" s="602"/>
      <c r="U26" s="602"/>
      <c r="V26" s="602"/>
      <c r="W26" s="602"/>
      <c r="X26" s="602"/>
      <c r="Y26" s="602"/>
      <c r="Z26" s="602"/>
      <c r="AA26" s="602"/>
      <c r="AB26" s="602"/>
      <c r="AC26" s="601"/>
      <c r="AD26" s="520">
        <f t="shared" si="4"/>
        <v>0</v>
      </c>
      <c r="AE26" s="440">
        <f t="shared" si="5"/>
        <v>0</v>
      </c>
      <c r="AF26" s="425" t="str">
        <f t="shared" si="6"/>
        <v>sell</v>
      </c>
    </row>
    <row r="27" spans="1:32" s="339" customFormat="1" hidden="1" x14ac:dyDescent="0.2">
      <c r="A27" s="555" t="s">
        <v>278</v>
      </c>
      <c r="B27" s="438" t="s">
        <v>241</v>
      </c>
      <c r="C27" s="438" t="s">
        <v>152</v>
      </c>
      <c r="D27" s="672">
        <f t="shared" si="3"/>
        <v>-0.25</v>
      </c>
      <c r="E27" s="672"/>
      <c r="F27" s="601"/>
      <c r="G27" s="646"/>
      <c r="H27" s="602"/>
      <c r="I27" s="602"/>
      <c r="J27" s="602">
        <v>0</v>
      </c>
      <c r="K27" s="602"/>
      <c r="L27" s="602"/>
      <c r="M27" s="602"/>
      <c r="N27" s="602"/>
      <c r="O27" s="602"/>
      <c r="P27" s="602"/>
      <c r="Q27" s="602"/>
      <c r="R27" s="602"/>
      <c r="S27" s="602"/>
      <c r="T27" s="602"/>
      <c r="U27" s="602"/>
      <c r="V27" s="602"/>
      <c r="W27" s="602"/>
      <c r="X27" s="602"/>
      <c r="Y27" s="602"/>
      <c r="Z27" s="602"/>
      <c r="AA27" s="602"/>
      <c r="AB27" s="602"/>
      <c r="AC27" s="601"/>
      <c r="AD27" s="520">
        <f t="shared" si="4"/>
        <v>0</v>
      </c>
      <c r="AE27" s="440">
        <f t="shared" si="5"/>
        <v>0</v>
      </c>
      <c r="AF27" s="425" t="str">
        <f>IF(AD27&lt;0,"buy","sell")</f>
        <v>sell</v>
      </c>
    </row>
    <row r="28" spans="1:32" s="339" customFormat="1" hidden="1" x14ac:dyDescent="0.2">
      <c r="A28" s="555" t="s">
        <v>278</v>
      </c>
      <c r="B28" s="438" t="s">
        <v>241</v>
      </c>
      <c r="C28" s="438" t="s">
        <v>152</v>
      </c>
      <c r="D28" s="672">
        <f t="shared" si="3"/>
        <v>-0.25</v>
      </c>
      <c r="E28" s="672"/>
      <c r="F28" s="602"/>
      <c r="G28" s="646"/>
      <c r="H28" s="602"/>
      <c r="I28" s="602"/>
      <c r="J28" s="602"/>
      <c r="K28" s="602">
        <v>0</v>
      </c>
      <c r="L28" s="602"/>
      <c r="M28" s="602"/>
      <c r="N28" s="602"/>
      <c r="O28" s="602"/>
      <c r="P28" s="602"/>
      <c r="Q28" s="602"/>
      <c r="R28" s="602"/>
      <c r="S28" s="602"/>
      <c r="T28" s="602"/>
      <c r="U28" s="602"/>
      <c r="V28" s="602"/>
      <c r="W28" s="602"/>
      <c r="X28" s="602"/>
      <c r="Y28" s="602"/>
      <c r="Z28" s="602"/>
      <c r="AA28" s="602"/>
      <c r="AB28" s="602"/>
      <c r="AC28" s="602"/>
      <c r="AD28" s="520">
        <f t="shared" si="4"/>
        <v>0</v>
      </c>
      <c r="AE28" s="440">
        <f t="shared" si="5"/>
        <v>0</v>
      </c>
      <c r="AF28" s="425" t="str">
        <f t="shared" si="6"/>
        <v>sell</v>
      </c>
    </row>
    <row r="29" spans="1:32" s="339" customFormat="1" hidden="1" x14ac:dyDescent="0.2">
      <c r="A29" s="555" t="s">
        <v>278</v>
      </c>
      <c r="B29" s="438" t="s">
        <v>241</v>
      </c>
      <c r="C29" s="438" t="s">
        <v>152</v>
      </c>
      <c r="D29" s="672">
        <f t="shared" si="3"/>
        <v>-0.25</v>
      </c>
      <c r="E29" s="672"/>
      <c r="F29" s="602"/>
      <c r="G29" s="646"/>
      <c r="H29" s="602"/>
      <c r="I29" s="602"/>
      <c r="J29" s="602"/>
      <c r="K29" s="602"/>
      <c r="L29" s="602">
        <v>0</v>
      </c>
      <c r="M29" s="602"/>
      <c r="N29" s="602"/>
      <c r="O29" s="602"/>
      <c r="P29" s="602"/>
      <c r="Q29" s="602"/>
      <c r="R29" s="602"/>
      <c r="S29" s="602"/>
      <c r="T29" s="602"/>
      <c r="U29" s="602"/>
      <c r="V29" s="602"/>
      <c r="W29" s="602"/>
      <c r="X29" s="602"/>
      <c r="Y29" s="602"/>
      <c r="Z29" s="602"/>
      <c r="AA29" s="602"/>
      <c r="AB29" s="602"/>
      <c r="AC29" s="602"/>
      <c r="AD29" s="520">
        <f t="shared" si="4"/>
        <v>0</v>
      </c>
      <c r="AE29" s="440">
        <f t="shared" si="5"/>
        <v>0</v>
      </c>
      <c r="AF29" s="425" t="str">
        <f t="shared" si="6"/>
        <v>sell</v>
      </c>
    </row>
    <row r="30" spans="1:32" s="339" customFormat="1" hidden="1" x14ac:dyDescent="0.2">
      <c r="A30" s="555" t="s">
        <v>278</v>
      </c>
      <c r="B30" s="438" t="s">
        <v>241</v>
      </c>
      <c r="C30" s="438" t="s">
        <v>152</v>
      </c>
      <c r="D30" s="672">
        <f t="shared" si="3"/>
        <v>-0.25</v>
      </c>
      <c r="E30" s="672"/>
      <c r="F30" s="602"/>
      <c r="G30" s="646"/>
      <c r="H30" s="602"/>
      <c r="I30" s="602"/>
      <c r="J30" s="602"/>
      <c r="K30" s="602"/>
      <c r="L30" s="602"/>
      <c r="M30" s="602">
        <v>0</v>
      </c>
      <c r="N30" s="602"/>
      <c r="O30" s="602"/>
      <c r="P30" s="602"/>
      <c r="Q30" s="602"/>
      <c r="R30" s="602"/>
      <c r="S30" s="602"/>
      <c r="T30" s="602"/>
      <c r="U30" s="602"/>
      <c r="V30" s="602"/>
      <c r="W30" s="602"/>
      <c r="X30" s="602"/>
      <c r="Y30" s="602"/>
      <c r="Z30" s="602"/>
      <c r="AA30" s="602"/>
      <c r="AB30" s="602"/>
      <c r="AC30" s="602"/>
      <c r="AD30" s="520">
        <f t="shared" si="4"/>
        <v>0</v>
      </c>
      <c r="AE30" s="440">
        <f t="shared" si="5"/>
        <v>0</v>
      </c>
      <c r="AF30" s="425" t="str">
        <f t="shared" si="6"/>
        <v>sell</v>
      </c>
    </row>
    <row r="31" spans="1:32" s="339" customFormat="1" hidden="1" x14ac:dyDescent="0.2">
      <c r="A31" s="555" t="s">
        <v>278</v>
      </c>
      <c r="B31" s="438" t="s">
        <v>241</v>
      </c>
      <c r="C31" s="438" t="s">
        <v>152</v>
      </c>
      <c r="D31" s="672">
        <f t="shared" si="3"/>
        <v>-0.25</v>
      </c>
      <c r="E31" s="672"/>
      <c r="F31" s="602"/>
      <c r="G31" s="646"/>
      <c r="H31" s="602"/>
      <c r="I31" s="602"/>
      <c r="J31" s="602"/>
      <c r="K31" s="602"/>
      <c r="L31" s="602"/>
      <c r="M31" s="602"/>
      <c r="N31" s="602">
        <v>0</v>
      </c>
      <c r="O31" s="602"/>
      <c r="P31" s="602"/>
      <c r="Q31" s="602"/>
      <c r="R31" s="602"/>
      <c r="S31" s="602"/>
      <c r="T31" s="602"/>
      <c r="U31" s="602"/>
      <c r="V31" s="602"/>
      <c r="W31" s="602"/>
      <c r="X31" s="602"/>
      <c r="Y31" s="602"/>
      <c r="Z31" s="602"/>
      <c r="AA31" s="602"/>
      <c r="AB31" s="602"/>
      <c r="AC31" s="602"/>
      <c r="AD31" s="520">
        <f t="shared" si="4"/>
        <v>0</v>
      </c>
      <c r="AE31" s="440">
        <f t="shared" si="5"/>
        <v>0</v>
      </c>
      <c r="AF31" s="425" t="str">
        <f t="shared" si="6"/>
        <v>sell</v>
      </c>
    </row>
    <row r="32" spans="1:32" s="339" customFormat="1" hidden="1" x14ac:dyDescent="0.2">
      <c r="A32" s="555" t="s">
        <v>278</v>
      </c>
      <c r="B32" s="438" t="s">
        <v>241</v>
      </c>
      <c r="C32" s="438" t="s">
        <v>152</v>
      </c>
      <c r="D32" s="672">
        <f t="shared" si="3"/>
        <v>-0.25</v>
      </c>
      <c r="E32" s="672"/>
      <c r="F32" s="602"/>
      <c r="G32" s="646"/>
      <c r="H32" s="602"/>
      <c r="I32" s="602"/>
      <c r="J32" s="602"/>
      <c r="K32" s="602"/>
      <c r="L32" s="602"/>
      <c r="M32" s="602"/>
      <c r="N32" s="602"/>
      <c r="O32" s="602">
        <v>0</v>
      </c>
      <c r="P32" s="602"/>
      <c r="Q32" s="602"/>
      <c r="R32" s="602"/>
      <c r="S32" s="602"/>
      <c r="T32" s="602"/>
      <c r="U32" s="602"/>
      <c r="V32" s="602"/>
      <c r="W32" s="602"/>
      <c r="X32" s="602"/>
      <c r="Y32" s="602"/>
      <c r="Z32" s="602"/>
      <c r="AA32" s="602"/>
      <c r="AB32" s="602"/>
      <c r="AC32" s="602"/>
      <c r="AD32" s="520">
        <f t="shared" si="4"/>
        <v>0</v>
      </c>
      <c r="AE32" s="440">
        <f t="shared" si="5"/>
        <v>0</v>
      </c>
      <c r="AF32" s="425" t="str">
        <f t="shared" si="6"/>
        <v>sell</v>
      </c>
    </row>
    <row r="33" spans="1:32" s="339" customFormat="1" hidden="1" x14ac:dyDescent="0.2">
      <c r="A33" s="555" t="s">
        <v>278</v>
      </c>
      <c r="B33" s="438" t="s">
        <v>241</v>
      </c>
      <c r="C33" s="438" t="s">
        <v>152</v>
      </c>
      <c r="D33" s="672">
        <f t="shared" si="3"/>
        <v>-0.25</v>
      </c>
      <c r="E33" s="672"/>
      <c r="F33" s="602"/>
      <c r="G33" s="646"/>
      <c r="H33" s="602"/>
      <c r="I33" s="602"/>
      <c r="J33" s="602"/>
      <c r="K33" s="602"/>
      <c r="L33" s="602"/>
      <c r="M33" s="602"/>
      <c r="N33" s="602"/>
      <c r="O33" s="602"/>
      <c r="P33" s="602">
        <v>0</v>
      </c>
      <c r="Q33" s="602"/>
      <c r="R33" s="602"/>
      <c r="S33" s="602"/>
      <c r="T33" s="602"/>
      <c r="U33" s="602"/>
      <c r="V33" s="602"/>
      <c r="W33" s="602"/>
      <c r="X33" s="602"/>
      <c r="Y33" s="602"/>
      <c r="Z33" s="602"/>
      <c r="AA33" s="602"/>
      <c r="AB33" s="602"/>
      <c r="AC33" s="602"/>
      <c r="AD33" s="520">
        <f t="shared" si="4"/>
        <v>0</v>
      </c>
      <c r="AE33" s="440">
        <f t="shared" si="5"/>
        <v>0</v>
      </c>
      <c r="AF33" s="425" t="str">
        <f t="shared" si="6"/>
        <v>sell</v>
      </c>
    </row>
    <row r="34" spans="1:32" s="339" customFormat="1" hidden="1" x14ac:dyDescent="0.2">
      <c r="A34" s="555" t="s">
        <v>278</v>
      </c>
      <c r="B34" s="438" t="s">
        <v>241</v>
      </c>
      <c r="C34" s="438" t="s">
        <v>152</v>
      </c>
      <c r="D34" s="672">
        <f t="shared" si="3"/>
        <v>-0.25</v>
      </c>
      <c r="E34" s="672"/>
      <c r="F34" s="602"/>
      <c r="G34" s="646"/>
      <c r="H34" s="602"/>
      <c r="I34" s="602"/>
      <c r="J34" s="602"/>
      <c r="K34" s="602"/>
      <c r="L34" s="602"/>
      <c r="M34" s="602"/>
      <c r="N34" s="602"/>
      <c r="O34" s="602"/>
      <c r="P34" s="602"/>
      <c r="Q34" s="602">
        <v>0</v>
      </c>
      <c r="R34" s="602"/>
      <c r="S34" s="602"/>
      <c r="T34" s="602"/>
      <c r="U34" s="602"/>
      <c r="V34" s="602"/>
      <c r="W34" s="602"/>
      <c r="X34" s="602"/>
      <c r="Y34" s="602"/>
      <c r="Z34" s="602"/>
      <c r="AA34" s="602"/>
      <c r="AB34" s="602"/>
      <c r="AC34" s="602"/>
      <c r="AD34" s="520">
        <f t="shared" si="4"/>
        <v>0</v>
      </c>
      <c r="AE34" s="440">
        <f t="shared" si="5"/>
        <v>0</v>
      </c>
      <c r="AF34" s="425" t="str">
        <f t="shared" si="6"/>
        <v>sell</v>
      </c>
    </row>
    <row r="35" spans="1:32" s="339" customFormat="1" hidden="1" x14ac:dyDescent="0.2">
      <c r="A35" s="555" t="s">
        <v>278</v>
      </c>
      <c r="B35" s="438" t="s">
        <v>241</v>
      </c>
      <c r="C35" s="438" t="s">
        <v>152</v>
      </c>
      <c r="D35" s="672">
        <f t="shared" si="3"/>
        <v>-0.25</v>
      </c>
      <c r="E35" s="672"/>
      <c r="F35" s="602"/>
      <c r="G35" s="646"/>
      <c r="H35" s="602"/>
      <c r="I35" s="602"/>
      <c r="J35" s="602"/>
      <c r="K35" s="602"/>
      <c r="L35" s="602"/>
      <c r="M35" s="602"/>
      <c r="N35" s="602"/>
      <c r="O35" s="602"/>
      <c r="P35" s="602"/>
      <c r="Q35" s="602"/>
      <c r="R35" s="602">
        <v>0</v>
      </c>
      <c r="S35" s="602"/>
      <c r="T35" s="602"/>
      <c r="U35" s="602"/>
      <c r="V35" s="602"/>
      <c r="W35" s="602"/>
      <c r="X35" s="602"/>
      <c r="Y35" s="602"/>
      <c r="Z35" s="602"/>
      <c r="AA35" s="602"/>
      <c r="AB35" s="602"/>
      <c r="AC35" s="602"/>
      <c r="AD35" s="520">
        <f t="shared" si="4"/>
        <v>0</v>
      </c>
      <c r="AE35" s="440">
        <f t="shared" si="5"/>
        <v>0</v>
      </c>
      <c r="AF35" s="425" t="str">
        <f t="shared" si="6"/>
        <v>sell</v>
      </c>
    </row>
    <row r="36" spans="1:32" s="339" customFormat="1" hidden="1" x14ac:dyDescent="0.2">
      <c r="A36" s="555" t="s">
        <v>278</v>
      </c>
      <c r="B36" s="438" t="s">
        <v>241</v>
      </c>
      <c r="C36" s="438" t="s">
        <v>152</v>
      </c>
      <c r="D36" s="672">
        <f t="shared" si="3"/>
        <v>-0.25</v>
      </c>
      <c r="E36" s="672"/>
      <c r="F36" s="602"/>
      <c r="G36" s="646"/>
      <c r="H36" s="602"/>
      <c r="I36" s="602"/>
      <c r="J36" s="602"/>
      <c r="K36" s="602"/>
      <c r="L36" s="602"/>
      <c r="M36" s="602"/>
      <c r="N36" s="602"/>
      <c r="O36" s="602"/>
      <c r="P36" s="602"/>
      <c r="Q36" s="602"/>
      <c r="R36" s="602"/>
      <c r="S36" s="602">
        <v>0</v>
      </c>
      <c r="T36" s="602"/>
      <c r="U36" s="602"/>
      <c r="V36" s="602"/>
      <c r="W36" s="602"/>
      <c r="X36" s="602"/>
      <c r="Y36" s="602"/>
      <c r="Z36" s="602"/>
      <c r="AA36" s="602"/>
      <c r="AB36" s="602"/>
      <c r="AC36" s="602"/>
      <c r="AD36" s="520">
        <f t="shared" si="4"/>
        <v>0</v>
      </c>
      <c r="AE36" s="440">
        <f t="shared" si="5"/>
        <v>0</v>
      </c>
      <c r="AF36" s="425" t="str">
        <f t="shared" si="6"/>
        <v>sell</v>
      </c>
    </row>
    <row r="37" spans="1:32" s="339" customFormat="1" hidden="1" x14ac:dyDescent="0.2">
      <c r="A37" s="555" t="s">
        <v>278</v>
      </c>
      <c r="B37" s="438" t="s">
        <v>241</v>
      </c>
      <c r="C37" s="438" t="s">
        <v>152</v>
      </c>
      <c r="D37" s="672">
        <f t="shared" si="3"/>
        <v>-0.25</v>
      </c>
      <c r="E37" s="672"/>
      <c r="F37" s="602"/>
      <c r="G37" s="646"/>
      <c r="H37" s="602"/>
      <c r="I37" s="602"/>
      <c r="J37" s="602"/>
      <c r="K37" s="602"/>
      <c r="L37" s="602"/>
      <c r="M37" s="602"/>
      <c r="N37" s="602"/>
      <c r="O37" s="602"/>
      <c r="P37" s="602"/>
      <c r="Q37" s="602"/>
      <c r="R37" s="602"/>
      <c r="S37" s="602"/>
      <c r="T37" s="602">
        <v>0</v>
      </c>
      <c r="U37" s="602"/>
      <c r="V37" s="602"/>
      <c r="W37" s="602"/>
      <c r="X37" s="602"/>
      <c r="Y37" s="602"/>
      <c r="Z37" s="602"/>
      <c r="AA37" s="602"/>
      <c r="AB37" s="602"/>
      <c r="AC37" s="602"/>
      <c r="AD37" s="520">
        <f t="shared" si="4"/>
        <v>0</v>
      </c>
      <c r="AE37" s="440">
        <f t="shared" si="5"/>
        <v>0</v>
      </c>
      <c r="AF37" s="425" t="str">
        <f t="shared" si="6"/>
        <v>sell</v>
      </c>
    </row>
    <row r="38" spans="1:32" s="339" customFormat="1" hidden="1" x14ac:dyDescent="0.2">
      <c r="A38" s="555" t="s">
        <v>278</v>
      </c>
      <c r="B38" s="438" t="s">
        <v>241</v>
      </c>
      <c r="C38" s="438" t="s">
        <v>152</v>
      </c>
      <c r="D38" s="672">
        <f t="shared" si="3"/>
        <v>-0.25</v>
      </c>
      <c r="E38" s="672"/>
      <c r="F38" s="602"/>
      <c r="G38" s="646"/>
      <c r="H38" s="602"/>
      <c r="I38" s="602"/>
      <c r="J38" s="602"/>
      <c r="K38" s="602"/>
      <c r="L38" s="602"/>
      <c r="M38" s="602"/>
      <c r="N38" s="602"/>
      <c r="O38" s="602"/>
      <c r="P38" s="602"/>
      <c r="Q38" s="602"/>
      <c r="R38" s="602"/>
      <c r="S38" s="602"/>
      <c r="T38" s="602"/>
      <c r="U38" s="602">
        <v>0</v>
      </c>
      <c r="V38" s="602"/>
      <c r="W38" s="602"/>
      <c r="X38" s="602"/>
      <c r="Y38" s="602"/>
      <c r="Z38" s="602"/>
      <c r="AA38" s="602"/>
      <c r="AB38" s="602"/>
      <c r="AC38" s="602"/>
      <c r="AD38" s="520">
        <f t="shared" si="4"/>
        <v>0</v>
      </c>
      <c r="AE38" s="440">
        <f t="shared" si="5"/>
        <v>0</v>
      </c>
      <c r="AF38" s="425" t="str">
        <f t="shared" si="6"/>
        <v>sell</v>
      </c>
    </row>
    <row r="39" spans="1:32" s="339" customFormat="1" hidden="1" x14ac:dyDescent="0.2">
      <c r="A39" s="555" t="s">
        <v>278</v>
      </c>
      <c r="B39" s="438" t="s">
        <v>241</v>
      </c>
      <c r="C39" s="438" t="s">
        <v>152</v>
      </c>
      <c r="D39" s="672">
        <f t="shared" si="3"/>
        <v>-0.25</v>
      </c>
      <c r="E39" s="672"/>
      <c r="F39" s="602"/>
      <c r="G39" s="646"/>
      <c r="H39" s="602"/>
      <c r="I39" s="602"/>
      <c r="J39" s="602"/>
      <c r="K39" s="602"/>
      <c r="L39" s="602"/>
      <c r="M39" s="602"/>
      <c r="N39" s="602"/>
      <c r="O39" s="602"/>
      <c r="P39" s="602"/>
      <c r="Q39" s="602"/>
      <c r="R39" s="602"/>
      <c r="S39" s="602"/>
      <c r="T39" s="602"/>
      <c r="U39" s="602"/>
      <c r="V39" s="602">
        <v>0</v>
      </c>
      <c r="W39" s="602"/>
      <c r="X39" s="602"/>
      <c r="Y39" s="602"/>
      <c r="Z39" s="602"/>
      <c r="AA39" s="603"/>
      <c r="AB39" s="602"/>
      <c r="AC39" s="602"/>
      <c r="AD39" s="520">
        <f t="shared" si="4"/>
        <v>0</v>
      </c>
      <c r="AE39" s="440">
        <f t="shared" si="5"/>
        <v>0</v>
      </c>
      <c r="AF39" s="425" t="str">
        <f t="shared" si="6"/>
        <v>sell</v>
      </c>
    </row>
    <row r="40" spans="1:32" s="339" customFormat="1" hidden="1" x14ac:dyDescent="0.2">
      <c r="A40" s="555" t="s">
        <v>278</v>
      </c>
      <c r="B40" s="438" t="s">
        <v>241</v>
      </c>
      <c r="C40" s="438" t="s">
        <v>152</v>
      </c>
      <c r="D40" s="672">
        <f t="shared" si="3"/>
        <v>-0.25</v>
      </c>
      <c r="E40" s="672"/>
      <c r="F40" s="602"/>
      <c r="G40" s="646"/>
      <c r="H40" s="602"/>
      <c r="I40" s="602"/>
      <c r="J40" s="602"/>
      <c r="K40" s="602"/>
      <c r="L40" s="602"/>
      <c r="M40" s="602"/>
      <c r="N40" s="602"/>
      <c r="O40" s="602"/>
      <c r="P40" s="602"/>
      <c r="Q40" s="602"/>
      <c r="R40" s="602"/>
      <c r="S40" s="602"/>
      <c r="T40" s="602"/>
      <c r="U40" s="602"/>
      <c r="V40" s="602"/>
      <c r="W40" s="602">
        <v>0</v>
      </c>
      <c r="X40" s="602"/>
      <c r="Y40" s="602"/>
      <c r="Z40" s="602"/>
      <c r="AA40" s="602"/>
      <c r="AB40" s="602"/>
      <c r="AC40" s="602"/>
      <c r="AD40" s="520">
        <f t="shared" si="4"/>
        <v>0</v>
      </c>
      <c r="AE40" s="440">
        <f t="shared" si="5"/>
        <v>0</v>
      </c>
      <c r="AF40" s="425" t="str">
        <f t="shared" si="6"/>
        <v>sell</v>
      </c>
    </row>
    <row r="41" spans="1:32" s="339" customFormat="1" hidden="1" x14ac:dyDescent="0.2">
      <c r="A41" s="555" t="s">
        <v>278</v>
      </c>
      <c r="B41" s="438" t="s">
        <v>241</v>
      </c>
      <c r="C41" s="438" t="s">
        <v>152</v>
      </c>
      <c r="D41" s="672">
        <f t="shared" si="3"/>
        <v>-0.25</v>
      </c>
      <c r="E41" s="672"/>
      <c r="F41" s="602"/>
      <c r="G41" s="646"/>
      <c r="H41" s="602"/>
      <c r="I41" s="602"/>
      <c r="J41" s="602"/>
      <c r="K41" s="602"/>
      <c r="L41" s="602"/>
      <c r="M41" s="602"/>
      <c r="N41" s="602"/>
      <c r="O41" s="602"/>
      <c r="P41" s="602"/>
      <c r="Q41" s="602"/>
      <c r="R41" s="602"/>
      <c r="S41" s="602"/>
      <c r="T41" s="602"/>
      <c r="U41" s="602"/>
      <c r="V41" s="602"/>
      <c r="W41" s="602"/>
      <c r="X41" s="602">
        <v>0</v>
      </c>
      <c r="Y41" s="602"/>
      <c r="Z41" s="602"/>
      <c r="AA41" s="602"/>
      <c r="AB41" s="602"/>
      <c r="AC41" s="602"/>
      <c r="AD41" s="520">
        <f t="shared" si="4"/>
        <v>0</v>
      </c>
      <c r="AE41" s="440">
        <f t="shared" si="5"/>
        <v>0</v>
      </c>
      <c r="AF41" s="425" t="str">
        <f t="shared" si="6"/>
        <v>sell</v>
      </c>
    </row>
    <row r="42" spans="1:32" s="339" customFormat="1" hidden="1" x14ac:dyDescent="0.2">
      <c r="A42" s="555" t="s">
        <v>278</v>
      </c>
      <c r="B42" s="438" t="s">
        <v>241</v>
      </c>
      <c r="C42" s="438" t="s">
        <v>152</v>
      </c>
      <c r="D42" s="672">
        <f t="shared" si="3"/>
        <v>-0.25</v>
      </c>
      <c r="E42" s="672"/>
      <c r="F42" s="602"/>
      <c r="G42" s="646"/>
      <c r="H42" s="602"/>
      <c r="I42" s="602"/>
      <c r="J42" s="602"/>
      <c r="K42" s="602"/>
      <c r="L42" s="602"/>
      <c r="M42" s="602"/>
      <c r="N42" s="602"/>
      <c r="O42" s="602"/>
      <c r="P42" s="602"/>
      <c r="Q42" s="602"/>
      <c r="R42" s="602"/>
      <c r="S42" s="602"/>
      <c r="T42" s="602"/>
      <c r="U42" s="602"/>
      <c r="V42" s="602"/>
      <c r="W42" s="602"/>
      <c r="X42" s="602"/>
      <c r="Y42" s="602">
        <v>0</v>
      </c>
      <c r="Z42" s="602"/>
      <c r="AA42" s="602"/>
      <c r="AB42" s="602"/>
      <c r="AC42" s="602"/>
      <c r="AD42" s="520">
        <f t="shared" si="4"/>
        <v>0</v>
      </c>
      <c r="AE42" s="440">
        <f t="shared" si="5"/>
        <v>0</v>
      </c>
      <c r="AF42" s="425" t="str">
        <f t="shared" si="6"/>
        <v>sell</v>
      </c>
    </row>
    <row r="43" spans="1:32" s="339" customFormat="1" hidden="1" x14ac:dyDescent="0.2">
      <c r="A43" s="555" t="s">
        <v>278</v>
      </c>
      <c r="B43" s="438" t="s">
        <v>241</v>
      </c>
      <c r="C43" s="438" t="s">
        <v>152</v>
      </c>
      <c r="D43" s="672">
        <f t="shared" si="3"/>
        <v>-0.25</v>
      </c>
      <c r="E43" s="672"/>
      <c r="F43" s="602"/>
      <c r="G43" s="646"/>
      <c r="H43" s="602"/>
      <c r="I43" s="602"/>
      <c r="J43" s="602"/>
      <c r="K43" s="602"/>
      <c r="L43" s="602"/>
      <c r="M43" s="602"/>
      <c r="N43" s="602"/>
      <c r="O43" s="602"/>
      <c r="P43" s="602"/>
      <c r="Q43" s="602"/>
      <c r="R43" s="602"/>
      <c r="S43" s="602"/>
      <c r="T43" s="602"/>
      <c r="U43" s="602"/>
      <c r="V43" s="602"/>
      <c r="W43" s="602"/>
      <c r="X43" s="602"/>
      <c r="Y43" s="602"/>
      <c r="Z43" s="602">
        <v>0</v>
      </c>
      <c r="AA43" s="602"/>
      <c r="AB43" s="602"/>
      <c r="AC43" s="602"/>
      <c r="AD43" s="520">
        <f t="shared" si="4"/>
        <v>0</v>
      </c>
      <c r="AE43" s="440">
        <f t="shared" si="5"/>
        <v>0</v>
      </c>
      <c r="AF43" s="425" t="str">
        <f t="shared" si="6"/>
        <v>sell</v>
      </c>
    </row>
    <row r="44" spans="1:32" s="339" customFormat="1" hidden="1" x14ac:dyDescent="0.2">
      <c r="A44" s="555" t="s">
        <v>278</v>
      </c>
      <c r="B44" s="438" t="s">
        <v>241</v>
      </c>
      <c r="C44" s="438" t="s">
        <v>152</v>
      </c>
      <c r="D44" s="672">
        <f t="shared" si="3"/>
        <v>-0.25</v>
      </c>
      <c r="E44" s="672"/>
      <c r="F44" s="602"/>
      <c r="G44" s="646"/>
      <c r="H44" s="602"/>
      <c r="I44" s="602"/>
      <c r="J44" s="602"/>
      <c r="K44" s="602"/>
      <c r="L44" s="602"/>
      <c r="M44" s="602"/>
      <c r="N44" s="602"/>
      <c r="O44" s="602"/>
      <c r="P44" s="602"/>
      <c r="Q44" s="602"/>
      <c r="R44" s="602"/>
      <c r="S44" s="602"/>
      <c r="T44" s="602"/>
      <c r="U44" s="602"/>
      <c r="V44" s="602"/>
      <c r="W44" s="602"/>
      <c r="X44" s="602"/>
      <c r="Y44" s="602"/>
      <c r="Z44" s="602"/>
      <c r="AA44" s="602">
        <v>0</v>
      </c>
      <c r="AB44" s="602"/>
      <c r="AC44" s="602"/>
      <c r="AD44" s="520">
        <f t="shared" si="4"/>
        <v>0</v>
      </c>
      <c r="AE44" s="440">
        <f t="shared" si="5"/>
        <v>0</v>
      </c>
      <c r="AF44" s="425" t="str">
        <f t="shared" si="6"/>
        <v>sell</v>
      </c>
    </row>
    <row r="45" spans="1:32" s="339" customFormat="1" hidden="1" x14ac:dyDescent="0.2">
      <c r="A45" s="555" t="s">
        <v>278</v>
      </c>
      <c r="B45" s="438" t="s">
        <v>241</v>
      </c>
      <c r="C45" s="438" t="s">
        <v>152</v>
      </c>
      <c r="D45" s="672">
        <f t="shared" si="3"/>
        <v>-0.25</v>
      </c>
      <c r="E45" s="672"/>
      <c r="F45" s="602"/>
      <c r="G45" s="646"/>
      <c r="H45" s="602"/>
      <c r="I45" s="602"/>
      <c r="J45" s="602"/>
      <c r="K45" s="602"/>
      <c r="L45" s="602"/>
      <c r="M45" s="602"/>
      <c r="N45" s="602"/>
      <c r="O45" s="602"/>
      <c r="P45" s="602"/>
      <c r="Q45" s="602"/>
      <c r="R45" s="602"/>
      <c r="S45" s="602"/>
      <c r="T45" s="602"/>
      <c r="U45" s="602"/>
      <c r="V45" s="602"/>
      <c r="W45" s="602"/>
      <c r="X45" s="602"/>
      <c r="Y45" s="602"/>
      <c r="Z45" s="602"/>
      <c r="AA45" s="602"/>
      <c r="AB45" s="602">
        <v>0</v>
      </c>
      <c r="AC45" s="602"/>
      <c r="AD45" s="520">
        <f t="shared" si="4"/>
        <v>0</v>
      </c>
      <c r="AE45" s="440">
        <f t="shared" si="5"/>
        <v>0</v>
      </c>
      <c r="AF45" s="425" t="str">
        <f t="shared" si="6"/>
        <v>sell</v>
      </c>
    </row>
    <row r="46" spans="1:32" s="339" customFormat="1" hidden="1" x14ac:dyDescent="0.2">
      <c r="A46" s="555" t="s">
        <v>278</v>
      </c>
      <c r="B46" s="438" t="s">
        <v>241</v>
      </c>
      <c r="C46" s="438" t="s">
        <v>152</v>
      </c>
      <c r="D46" s="672">
        <f t="shared" si="3"/>
        <v>-0.25</v>
      </c>
      <c r="E46" s="672"/>
      <c r="F46" s="602">
        <v>0</v>
      </c>
      <c r="G46" s="646"/>
      <c r="H46" s="602"/>
      <c r="I46" s="602"/>
      <c r="J46" s="602"/>
      <c r="K46" s="602"/>
      <c r="L46" s="602"/>
      <c r="M46" s="602"/>
      <c r="N46" s="602"/>
      <c r="O46" s="602"/>
      <c r="P46" s="602"/>
      <c r="Q46" s="602"/>
      <c r="R46" s="602"/>
      <c r="S46" s="602"/>
      <c r="T46" s="602"/>
      <c r="U46" s="602"/>
      <c r="V46" s="602"/>
      <c r="W46" s="602"/>
      <c r="X46" s="602"/>
      <c r="Y46" s="602"/>
      <c r="Z46" s="602"/>
      <c r="AA46" s="602"/>
      <c r="AB46" s="602"/>
      <c r="AC46" s="602">
        <v>0</v>
      </c>
      <c r="AD46" s="520">
        <f t="shared" si="4"/>
        <v>0</v>
      </c>
      <c r="AE46" s="440">
        <f t="shared" si="5"/>
        <v>0</v>
      </c>
      <c r="AF46" s="425" t="str">
        <f t="shared" si="6"/>
        <v>sell</v>
      </c>
    </row>
    <row r="47" spans="1:32" s="339" customFormat="1" hidden="1" x14ac:dyDescent="0.2">
      <c r="A47" s="555"/>
      <c r="B47" s="438"/>
      <c r="C47" s="438"/>
      <c r="D47" s="672"/>
      <c r="E47" s="672"/>
      <c r="F47" s="602"/>
      <c r="G47" s="646"/>
      <c r="H47" s="602"/>
      <c r="I47" s="602"/>
      <c r="J47" s="602"/>
      <c r="K47" s="602"/>
      <c r="L47" s="602"/>
      <c r="M47" s="602"/>
      <c r="N47" s="602"/>
      <c r="O47" s="602"/>
      <c r="P47" s="602"/>
      <c r="Q47" s="602"/>
      <c r="R47" s="602"/>
      <c r="S47" s="602"/>
      <c r="T47" s="602"/>
      <c r="U47" s="602"/>
      <c r="V47" s="602"/>
      <c r="W47" s="602"/>
      <c r="X47" s="602"/>
      <c r="Y47" s="602"/>
      <c r="Z47" s="602"/>
      <c r="AA47" s="602"/>
      <c r="AB47" s="602"/>
      <c r="AC47" s="602"/>
      <c r="AD47" s="520">
        <f t="shared" si="4"/>
        <v>0</v>
      </c>
      <c r="AE47" s="440">
        <f t="shared" si="5"/>
        <v>0</v>
      </c>
      <c r="AF47" s="425"/>
    </row>
    <row r="48" spans="1:32" s="339" customFormat="1" hidden="1" x14ac:dyDescent="0.2">
      <c r="A48" s="555" t="s">
        <v>278</v>
      </c>
      <c r="B48" s="438" t="s">
        <v>241</v>
      </c>
      <c r="C48" s="438" t="s">
        <v>280</v>
      </c>
      <c r="D48" s="672">
        <f t="shared" ref="D48:D70" si="7">F169</f>
        <v>-0.25</v>
      </c>
      <c r="E48" s="672"/>
      <c r="F48" s="602"/>
      <c r="G48" s="602"/>
      <c r="H48" s="602"/>
      <c r="I48" s="602"/>
      <c r="J48" s="602"/>
      <c r="K48" s="602"/>
      <c r="L48" s="602"/>
      <c r="M48" s="602"/>
      <c r="N48" s="602"/>
      <c r="O48" s="602"/>
      <c r="P48" s="602"/>
      <c r="Q48" s="602"/>
      <c r="R48" s="602"/>
      <c r="S48" s="602"/>
      <c r="T48" s="602"/>
      <c r="U48" s="602"/>
      <c r="V48" s="602"/>
      <c r="W48" s="602"/>
      <c r="X48" s="602"/>
      <c r="Y48" s="602"/>
      <c r="Z48" s="602"/>
      <c r="AA48" s="602"/>
      <c r="AB48" s="602"/>
      <c r="AC48" s="602"/>
      <c r="AD48" s="520">
        <f t="shared" si="4"/>
        <v>0</v>
      </c>
      <c r="AE48" s="440">
        <f t="shared" si="5"/>
        <v>0</v>
      </c>
      <c r="AF48" s="425" t="str">
        <f>IF(AD48&lt;0,"buy","sell")</f>
        <v>sell</v>
      </c>
    </row>
    <row r="49" spans="1:32" s="339" customFormat="1" hidden="1" x14ac:dyDescent="0.2">
      <c r="A49" s="555" t="s">
        <v>278</v>
      </c>
      <c r="B49" s="438" t="s">
        <v>241</v>
      </c>
      <c r="C49" s="438" t="s">
        <v>280</v>
      </c>
      <c r="D49" s="672">
        <f t="shared" si="7"/>
        <v>-0.25</v>
      </c>
      <c r="E49" s="672"/>
      <c r="F49" s="602"/>
      <c r="G49" s="602"/>
      <c r="H49" s="602"/>
      <c r="I49" s="602"/>
      <c r="J49" s="602"/>
      <c r="K49" s="602"/>
      <c r="L49" s="602"/>
      <c r="M49" s="602"/>
      <c r="N49" s="602"/>
      <c r="O49" s="602"/>
      <c r="P49" s="602"/>
      <c r="Q49" s="602"/>
      <c r="R49" s="602"/>
      <c r="S49" s="602"/>
      <c r="T49" s="602"/>
      <c r="U49" s="602"/>
      <c r="V49" s="602"/>
      <c r="W49" s="602"/>
      <c r="X49" s="602"/>
      <c r="Y49" s="602"/>
      <c r="Z49" s="602"/>
      <c r="AA49" s="602"/>
      <c r="AB49" s="602"/>
      <c r="AC49" s="602"/>
      <c r="AD49" s="520">
        <f t="shared" si="4"/>
        <v>0</v>
      </c>
      <c r="AE49" s="440">
        <f t="shared" si="5"/>
        <v>0</v>
      </c>
      <c r="AF49" s="425" t="str">
        <f t="shared" ref="AF49:AF71" si="8">IF(AD49&lt;0,"buy","sell")</f>
        <v>sell</v>
      </c>
    </row>
    <row r="50" spans="1:32" s="339" customFormat="1" hidden="1" x14ac:dyDescent="0.2">
      <c r="A50" s="555" t="s">
        <v>278</v>
      </c>
      <c r="B50" s="438" t="s">
        <v>241</v>
      </c>
      <c r="C50" s="438" t="s">
        <v>280</v>
      </c>
      <c r="D50" s="672">
        <f t="shared" si="7"/>
        <v>-0.25</v>
      </c>
      <c r="E50" s="672"/>
      <c r="F50" s="602"/>
      <c r="G50" s="602"/>
      <c r="H50" s="602">
        <v>0</v>
      </c>
      <c r="I50" s="602"/>
      <c r="J50" s="602"/>
      <c r="K50" s="602"/>
      <c r="L50" s="602"/>
      <c r="M50" s="602"/>
      <c r="N50" s="602"/>
      <c r="O50" s="602"/>
      <c r="P50" s="602"/>
      <c r="Q50" s="602"/>
      <c r="R50" s="602"/>
      <c r="S50" s="602"/>
      <c r="T50" s="602"/>
      <c r="U50" s="602"/>
      <c r="V50" s="602"/>
      <c r="W50" s="602"/>
      <c r="X50" s="602"/>
      <c r="Y50" s="602"/>
      <c r="Z50" s="602"/>
      <c r="AA50" s="602"/>
      <c r="AB50" s="602"/>
      <c r="AC50" s="602"/>
      <c r="AD50" s="520">
        <f t="shared" si="4"/>
        <v>0</v>
      </c>
      <c r="AE50" s="440">
        <f t="shared" si="5"/>
        <v>0</v>
      </c>
      <c r="AF50" s="425" t="str">
        <f t="shared" si="8"/>
        <v>sell</v>
      </c>
    </row>
    <row r="51" spans="1:32" s="339" customFormat="1" hidden="1" x14ac:dyDescent="0.2">
      <c r="A51" s="555" t="s">
        <v>278</v>
      </c>
      <c r="B51" s="438" t="s">
        <v>241</v>
      </c>
      <c r="C51" s="438" t="s">
        <v>280</v>
      </c>
      <c r="D51" s="672">
        <f t="shared" si="7"/>
        <v>-0.25</v>
      </c>
      <c r="E51" s="672"/>
      <c r="F51" s="602"/>
      <c r="G51" s="602"/>
      <c r="H51" s="602"/>
      <c r="I51" s="602">
        <v>0</v>
      </c>
      <c r="J51" s="602"/>
      <c r="K51" s="602"/>
      <c r="L51" s="602"/>
      <c r="M51" s="602"/>
      <c r="N51" s="602"/>
      <c r="O51" s="602"/>
      <c r="P51" s="602"/>
      <c r="Q51" s="602"/>
      <c r="R51" s="602"/>
      <c r="S51" s="602"/>
      <c r="T51" s="602"/>
      <c r="U51" s="602"/>
      <c r="V51" s="602"/>
      <c r="W51" s="602"/>
      <c r="X51" s="602"/>
      <c r="Y51" s="602"/>
      <c r="Z51" s="602"/>
      <c r="AA51" s="602"/>
      <c r="AB51" s="602"/>
      <c r="AC51" s="602"/>
      <c r="AD51" s="520">
        <f t="shared" si="4"/>
        <v>0</v>
      </c>
      <c r="AE51" s="440">
        <f t="shared" si="5"/>
        <v>0</v>
      </c>
      <c r="AF51" s="425" t="str">
        <f t="shared" si="8"/>
        <v>sell</v>
      </c>
    </row>
    <row r="52" spans="1:32" s="339" customFormat="1" hidden="1" x14ac:dyDescent="0.2">
      <c r="A52" s="555" t="s">
        <v>278</v>
      </c>
      <c r="B52" s="438" t="s">
        <v>241</v>
      </c>
      <c r="C52" s="438" t="s">
        <v>280</v>
      </c>
      <c r="D52" s="672">
        <f t="shared" si="7"/>
        <v>-0.25</v>
      </c>
      <c r="E52" s="672"/>
      <c r="F52" s="602"/>
      <c r="G52" s="602"/>
      <c r="H52" s="602"/>
      <c r="I52" s="602"/>
      <c r="J52" s="602">
        <v>0</v>
      </c>
      <c r="K52" s="602"/>
      <c r="L52" s="602"/>
      <c r="M52" s="602"/>
      <c r="N52" s="602"/>
      <c r="O52" s="602"/>
      <c r="P52" s="602"/>
      <c r="Q52" s="602"/>
      <c r="R52" s="602"/>
      <c r="S52" s="602"/>
      <c r="T52" s="602"/>
      <c r="U52" s="602"/>
      <c r="V52" s="602"/>
      <c r="W52" s="602"/>
      <c r="X52" s="602"/>
      <c r="Y52" s="602"/>
      <c r="Z52" s="602"/>
      <c r="AA52" s="602"/>
      <c r="AB52" s="602"/>
      <c r="AC52" s="602"/>
      <c r="AD52" s="520">
        <f t="shared" si="4"/>
        <v>0</v>
      </c>
      <c r="AE52" s="440">
        <f t="shared" si="5"/>
        <v>0</v>
      </c>
      <c r="AF52" s="425" t="str">
        <f t="shared" si="8"/>
        <v>sell</v>
      </c>
    </row>
    <row r="53" spans="1:32" s="339" customFormat="1" hidden="1" x14ac:dyDescent="0.2">
      <c r="A53" s="555" t="s">
        <v>278</v>
      </c>
      <c r="B53" s="438" t="s">
        <v>241</v>
      </c>
      <c r="C53" s="438" t="s">
        <v>280</v>
      </c>
      <c r="D53" s="672">
        <f t="shared" si="7"/>
        <v>-0.25</v>
      </c>
      <c r="E53" s="672"/>
      <c r="F53" s="602"/>
      <c r="G53" s="602"/>
      <c r="H53" s="602"/>
      <c r="I53" s="602"/>
      <c r="J53" s="602"/>
      <c r="K53" s="602">
        <v>0</v>
      </c>
      <c r="L53" s="602"/>
      <c r="M53" s="602"/>
      <c r="N53" s="602"/>
      <c r="O53" s="602"/>
      <c r="P53" s="602"/>
      <c r="Q53" s="602"/>
      <c r="R53" s="602"/>
      <c r="S53" s="602"/>
      <c r="T53" s="602"/>
      <c r="U53" s="602"/>
      <c r="V53" s="602"/>
      <c r="W53" s="602"/>
      <c r="X53" s="602"/>
      <c r="Y53" s="602"/>
      <c r="Z53" s="602"/>
      <c r="AA53" s="602"/>
      <c r="AB53" s="602"/>
      <c r="AC53" s="602"/>
      <c r="AD53" s="520">
        <f t="shared" si="4"/>
        <v>0</v>
      </c>
      <c r="AE53" s="440">
        <f t="shared" si="5"/>
        <v>0</v>
      </c>
      <c r="AF53" s="425" t="str">
        <f t="shared" si="8"/>
        <v>sell</v>
      </c>
    </row>
    <row r="54" spans="1:32" s="339" customFormat="1" hidden="1" x14ac:dyDescent="0.2">
      <c r="A54" s="555" t="s">
        <v>278</v>
      </c>
      <c r="B54" s="438" t="s">
        <v>241</v>
      </c>
      <c r="C54" s="438" t="s">
        <v>280</v>
      </c>
      <c r="D54" s="672">
        <f t="shared" si="7"/>
        <v>-0.25</v>
      </c>
      <c r="E54" s="672"/>
      <c r="F54" s="602"/>
      <c r="G54" s="602"/>
      <c r="H54" s="602"/>
      <c r="I54" s="602"/>
      <c r="J54" s="602"/>
      <c r="K54" s="602"/>
      <c r="L54" s="602">
        <v>0</v>
      </c>
      <c r="M54" s="602"/>
      <c r="N54" s="602"/>
      <c r="O54" s="602"/>
      <c r="P54" s="602"/>
      <c r="Q54" s="602"/>
      <c r="R54" s="602"/>
      <c r="S54" s="602"/>
      <c r="T54" s="602"/>
      <c r="U54" s="602"/>
      <c r="V54" s="602"/>
      <c r="W54" s="602"/>
      <c r="X54" s="602"/>
      <c r="Y54" s="602"/>
      <c r="Z54" s="602"/>
      <c r="AA54" s="602"/>
      <c r="AB54" s="602"/>
      <c r="AC54" s="602"/>
      <c r="AD54" s="520">
        <f t="shared" si="4"/>
        <v>0</v>
      </c>
      <c r="AE54" s="440">
        <f t="shared" si="5"/>
        <v>0</v>
      </c>
      <c r="AF54" s="425" t="str">
        <f t="shared" si="8"/>
        <v>sell</v>
      </c>
    </row>
    <row r="55" spans="1:32" s="339" customFormat="1" hidden="1" x14ac:dyDescent="0.2">
      <c r="A55" s="555" t="s">
        <v>278</v>
      </c>
      <c r="B55" s="438" t="s">
        <v>241</v>
      </c>
      <c r="C55" s="438" t="s">
        <v>280</v>
      </c>
      <c r="D55" s="672">
        <f t="shared" si="7"/>
        <v>-0.25</v>
      </c>
      <c r="E55" s="672"/>
      <c r="F55" s="602"/>
      <c r="G55" s="602"/>
      <c r="H55" s="602"/>
      <c r="I55" s="602"/>
      <c r="J55" s="602"/>
      <c r="K55" s="602"/>
      <c r="L55" s="602"/>
      <c r="M55" s="602">
        <v>0</v>
      </c>
      <c r="N55" s="602"/>
      <c r="O55" s="602"/>
      <c r="P55" s="602"/>
      <c r="Q55" s="602"/>
      <c r="R55" s="602"/>
      <c r="S55" s="602"/>
      <c r="T55" s="602"/>
      <c r="U55" s="602"/>
      <c r="V55" s="602"/>
      <c r="W55" s="602"/>
      <c r="X55" s="602"/>
      <c r="Y55" s="602"/>
      <c r="Z55" s="602"/>
      <c r="AA55" s="602"/>
      <c r="AB55" s="602"/>
      <c r="AC55" s="602"/>
      <c r="AD55" s="520">
        <f t="shared" si="4"/>
        <v>0</v>
      </c>
      <c r="AE55" s="440">
        <f t="shared" si="5"/>
        <v>0</v>
      </c>
      <c r="AF55" s="425" t="str">
        <f t="shared" si="8"/>
        <v>sell</v>
      </c>
    </row>
    <row r="56" spans="1:32" s="339" customFormat="1" hidden="1" x14ac:dyDescent="0.2">
      <c r="A56" s="555" t="s">
        <v>278</v>
      </c>
      <c r="B56" s="438" t="s">
        <v>241</v>
      </c>
      <c r="C56" s="438" t="s">
        <v>280</v>
      </c>
      <c r="D56" s="672">
        <f t="shared" si="7"/>
        <v>-0.25</v>
      </c>
      <c r="E56" s="672"/>
      <c r="F56" s="602"/>
      <c r="G56" s="602"/>
      <c r="H56" s="602"/>
      <c r="I56" s="602"/>
      <c r="J56" s="602"/>
      <c r="K56" s="602"/>
      <c r="L56" s="602"/>
      <c r="M56" s="602"/>
      <c r="N56" s="602">
        <v>0</v>
      </c>
      <c r="O56" s="602"/>
      <c r="P56" s="602"/>
      <c r="Q56" s="602"/>
      <c r="R56" s="602"/>
      <c r="S56" s="602"/>
      <c r="T56" s="602"/>
      <c r="U56" s="602"/>
      <c r="V56" s="602"/>
      <c r="W56" s="602"/>
      <c r="X56" s="602"/>
      <c r="Y56" s="602"/>
      <c r="Z56" s="602"/>
      <c r="AA56" s="602"/>
      <c r="AB56" s="602"/>
      <c r="AC56" s="602"/>
      <c r="AD56" s="520">
        <f t="shared" si="4"/>
        <v>0</v>
      </c>
      <c r="AE56" s="440">
        <f t="shared" si="5"/>
        <v>0</v>
      </c>
      <c r="AF56" s="425" t="str">
        <f t="shared" si="8"/>
        <v>sell</v>
      </c>
    </row>
    <row r="57" spans="1:32" s="339" customFormat="1" hidden="1" x14ac:dyDescent="0.2">
      <c r="A57" s="555" t="s">
        <v>278</v>
      </c>
      <c r="B57" s="438" t="s">
        <v>241</v>
      </c>
      <c r="C57" s="438" t="s">
        <v>280</v>
      </c>
      <c r="D57" s="672">
        <f t="shared" si="7"/>
        <v>-0.25</v>
      </c>
      <c r="E57" s="672"/>
      <c r="F57" s="602"/>
      <c r="G57" s="602"/>
      <c r="H57" s="602"/>
      <c r="I57" s="602"/>
      <c r="J57" s="602"/>
      <c r="K57" s="602"/>
      <c r="L57" s="602"/>
      <c r="M57" s="602"/>
      <c r="N57" s="602"/>
      <c r="O57" s="602">
        <v>0</v>
      </c>
      <c r="P57" s="602"/>
      <c r="Q57" s="602"/>
      <c r="R57" s="602"/>
      <c r="S57" s="602"/>
      <c r="T57" s="602"/>
      <c r="U57" s="602"/>
      <c r="V57" s="602"/>
      <c r="W57" s="602"/>
      <c r="X57" s="602"/>
      <c r="Y57" s="602"/>
      <c r="Z57" s="602"/>
      <c r="AA57" s="602"/>
      <c r="AB57" s="602"/>
      <c r="AC57" s="602"/>
      <c r="AD57" s="520">
        <f t="shared" si="4"/>
        <v>0</v>
      </c>
      <c r="AE57" s="440">
        <f t="shared" si="5"/>
        <v>0</v>
      </c>
      <c r="AF57" s="425" t="str">
        <f t="shared" si="8"/>
        <v>sell</v>
      </c>
    </row>
    <row r="58" spans="1:32" s="339" customFormat="1" hidden="1" x14ac:dyDescent="0.2">
      <c r="A58" s="555" t="s">
        <v>278</v>
      </c>
      <c r="B58" s="438" t="s">
        <v>241</v>
      </c>
      <c r="C58" s="438" t="s">
        <v>280</v>
      </c>
      <c r="D58" s="672">
        <f t="shared" si="7"/>
        <v>-0.25</v>
      </c>
      <c r="E58" s="672"/>
      <c r="F58" s="602"/>
      <c r="G58" s="602"/>
      <c r="H58" s="602"/>
      <c r="I58" s="602"/>
      <c r="J58" s="602"/>
      <c r="K58" s="602"/>
      <c r="L58" s="602"/>
      <c r="M58" s="602"/>
      <c r="N58" s="602"/>
      <c r="O58" s="602"/>
      <c r="P58" s="602">
        <v>0</v>
      </c>
      <c r="Q58" s="602"/>
      <c r="R58" s="602"/>
      <c r="S58" s="602"/>
      <c r="T58" s="602"/>
      <c r="U58" s="602"/>
      <c r="V58" s="602"/>
      <c r="W58" s="602"/>
      <c r="X58" s="602"/>
      <c r="Y58" s="602"/>
      <c r="Z58" s="602"/>
      <c r="AA58" s="602"/>
      <c r="AB58" s="602"/>
      <c r="AC58" s="602"/>
      <c r="AD58" s="520">
        <f t="shared" si="4"/>
        <v>0</v>
      </c>
      <c r="AE58" s="440">
        <f t="shared" si="5"/>
        <v>0</v>
      </c>
      <c r="AF58" s="425" t="str">
        <f t="shared" si="8"/>
        <v>sell</v>
      </c>
    </row>
    <row r="59" spans="1:32" s="339" customFormat="1" hidden="1" x14ac:dyDescent="0.2">
      <c r="A59" s="555" t="s">
        <v>278</v>
      </c>
      <c r="B59" s="438" t="s">
        <v>241</v>
      </c>
      <c r="C59" s="438" t="s">
        <v>280</v>
      </c>
      <c r="D59" s="672">
        <f t="shared" si="7"/>
        <v>-0.25</v>
      </c>
      <c r="E59" s="672"/>
      <c r="F59" s="602"/>
      <c r="G59" s="602"/>
      <c r="H59" s="602"/>
      <c r="I59" s="602"/>
      <c r="J59" s="602"/>
      <c r="K59" s="602"/>
      <c r="L59" s="602"/>
      <c r="M59" s="602"/>
      <c r="N59" s="602"/>
      <c r="O59" s="602"/>
      <c r="P59" s="602"/>
      <c r="Q59" s="602">
        <v>0</v>
      </c>
      <c r="R59" s="602"/>
      <c r="S59" s="602"/>
      <c r="T59" s="602"/>
      <c r="U59" s="602"/>
      <c r="V59" s="602"/>
      <c r="W59" s="602"/>
      <c r="X59" s="602"/>
      <c r="Y59" s="602"/>
      <c r="Z59" s="602"/>
      <c r="AA59" s="602"/>
      <c r="AB59" s="602"/>
      <c r="AC59" s="602"/>
      <c r="AD59" s="520">
        <f t="shared" si="4"/>
        <v>0</v>
      </c>
      <c r="AE59" s="440">
        <f t="shared" si="5"/>
        <v>0</v>
      </c>
      <c r="AF59" s="425" t="str">
        <f t="shared" si="8"/>
        <v>sell</v>
      </c>
    </row>
    <row r="60" spans="1:32" s="339" customFormat="1" hidden="1" x14ac:dyDescent="0.2">
      <c r="A60" s="555" t="s">
        <v>278</v>
      </c>
      <c r="B60" s="438" t="s">
        <v>241</v>
      </c>
      <c r="C60" s="438" t="s">
        <v>280</v>
      </c>
      <c r="D60" s="672">
        <f t="shared" si="7"/>
        <v>-0.25</v>
      </c>
      <c r="E60" s="672"/>
      <c r="F60" s="602"/>
      <c r="G60" s="602"/>
      <c r="H60" s="602"/>
      <c r="I60" s="602"/>
      <c r="J60" s="602"/>
      <c r="K60" s="602"/>
      <c r="L60" s="602"/>
      <c r="M60" s="602"/>
      <c r="N60" s="602"/>
      <c r="O60" s="602"/>
      <c r="P60" s="602"/>
      <c r="Q60" s="602"/>
      <c r="R60" s="602">
        <v>0</v>
      </c>
      <c r="S60" s="602"/>
      <c r="T60" s="602"/>
      <c r="U60" s="602"/>
      <c r="V60" s="602"/>
      <c r="W60" s="602"/>
      <c r="X60" s="602"/>
      <c r="Y60" s="602"/>
      <c r="Z60" s="602"/>
      <c r="AA60" s="602"/>
      <c r="AB60" s="602"/>
      <c r="AC60" s="602"/>
      <c r="AD60" s="520">
        <f t="shared" si="4"/>
        <v>0</v>
      </c>
      <c r="AE60" s="440">
        <f t="shared" si="5"/>
        <v>0</v>
      </c>
      <c r="AF60" s="425" t="str">
        <f t="shared" si="8"/>
        <v>sell</v>
      </c>
    </row>
    <row r="61" spans="1:32" s="339" customFormat="1" hidden="1" x14ac:dyDescent="0.2">
      <c r="A61" s="555" t="s">
        <v>278</v>
      </c>
      <c r="B61" s="438" t="s">
        <v>241</v>
      </c>
      <c r="C61" s="438" t="s">
        <v>280</v>
      </c>
      <c r="D61" s="672">
        <f t="shared" si="7"/>
        <v>-0.25</v>
      </c>
      <c r="E61" s="672"/>
      <c r="F61" s="602"/>
      <c r="G61" s="602"/>
      <c r="H61" s="602"/>
      <c r="I61" s="602"/>
      <c r="J61" s="602"/>
      <c r="K61" s="602"/>
      <c r="L61" s="602"/>
      <c r="M61" s="602"/>
      <c r="N61" s="602"/>
      <c r="O61" s="602"/>
      <c r="P61" s="602"/>
      <c r="Q61" s="602"/>
      <c r="R61" s="602"/>
      <c r="S61" s="602">
        <v>0</v>
      </c>
      <c r="T61" s="602"/>
      <c r="U61" s="602"/>
      <c r="V61" s="602"/>
      <c r="W61" s="602"/>
      <c r="X61" s="602"/>
      <c r="Y61" s="602"/>
      <c r="Z61" s="602"/>
      <c r="AA61" s="602"/>
      <c r="AB61" s="602"/>
      <c r="AC61" s="602"/>
      <c r="AD61" s="520">
        <f t="shared" si="4"/>
        <v>0</v>
      </c>
      <c r="AE61" s="440">
        <f t="shared" si="5"/>
        <v>0</v>
      </c>
      <c r="AF61" s="425" t="str">
        <f t="shared" si="8"/>
        <v>sell</v>
      </c>
    </row>
    <row r="62" spans="1:32" s="339" customFormat="1" hidden="1" x14ac:dyDescent="0.2">
      <c r="A62" s="555" t="s">
        <v>278</v>
      </c>
      <c r="B62" s="438" t="s">
        <v>241</v>
      </c>
      <c r="C62" s="438" t="s">
        <v>280</v>
      </c>
      <c r="D62" s="672">
        <f t="shared" si="7"/>
        <v>-0.25</v>
      </c>
      <c r="E62" s="672"/>
      <c r="F62" s="602"/>
      <c r="G62" s="602"/>
      <c r="H62" s="602"/>
      <c r="I62" s="602"/>
      <c r="J62" s="602"/>
      <c r="K62" s="602"/>
      <c r="L62" s="602"/>
      <c r="M62" s="602"/>
      <c r="N62" s="602"/>
      <c r="O62" s="602"/>
      <c r="P62" s="602"/>
      <c r="Q62" s="602"/>
      <c r="R62" s="602"/>
      <c r="S62" s="602"/>
      <c r="T62" s="602">
        <v>0</v>
      </c>
      <c r="U62" s="602"/>
      <c r="V62" s="602"/>
      <c r="W62" s="602"/>
      <c r="X62" s="602"/>
      <c r="Y62" s="602"/>
      <c r="Z62" s="602"/>
      <c r="AA62" s="602"/>
      <c r="AB62" s="602"/>
      <c r="AC62" s="602"/>
      <c r="AD62" s="520">
        <f t="shared" si="4"/>
        <v>0</v>
      </c>
      <c r="AE62" s="440">
        <f t="shared" si="5"/>
        <v>0</v>
      </c>
      <c r="AF62" s="425" t="str">
        <f t="shared" si="8"/>
        <v>sell</v>
      </c>
    </row>
    <row r="63" spans="1:32" s="339" customFormat="1" hidden="1" x14ac:dyDescent="0.2">
      <c r="A63" s="555" t="s">
        <v>278</v>
      </c>
      <c r="B63" s="438" t="s">
        <v>241</v>
      </c>
      <c r="C63" s="438" t="s">
        <v>280</v>
      </c>
      <c r="D63" s="672">
        <f t="shared" si="7"/>
        <v>-0.25</v>
      </c>
      <c r="E63" s="672"/>
      <c r="F63" s="602"/>
      <c r="G63" s="602"/>
      <c r="H63" s="602"/>
      <c r="I63" s="602"/>
      <c r="J63" s="602"/>
      <c r="K63" s="602"/>
      <c r="L63" s="602"/>
      <c r="M63" s="602"/>
      <c r="N63" s="602"/>
      <c r="O63" s="602"/>
      <c r="P63" s="602"/>
      <c r="Q63" s="602"/>
      <c r="R63" s="602"/>
      <c r="S63" s="602"/>
      <c r="T63" s="602"/>
      <c r="U63" s="602">
        <v>0</v>
      </c>
      <c r="V63" s="602"/>
      <c r="W63" s="602"/>
      <c r="X63" s="602"/>
      <c r="Y63" s="602"/>
      <c r="Z63" s="602"/>
      <c r="AA63" s="602"/>
      <c r="AB63" s="602"/>
      <c r="AC63" s="602"/>
      <c r="AD63" s="520">
        <f t="shared" si="4"/>
        <v>0</v>
      </c>
      <c r="AE63" s="440">
        <f t="shared" si="5"/>
        <v>0</v>
      </c>
      <c r="AF63" s="425" t="str">
        <f t="shared" si="8"/>
        <v>sell</v>
      </c>
    </row>
    <row r="64" spans="1:32" s="339" customFormat="1" hidden="1" x14ac:dyDescent="0.2">
      <c r="A64" s="555" t="s">
        <v>278</v>
      </c>
      <c r="B64" s="438" t="s">
        <v>241</v>
      </c>
      <c r="C64" s="438" t="s">
        <v>280</v>
      </c>
      <c r="D64" s="672">
        <f t="shared" si="7"/>
        <v>-0.25</v>
      </c>
      <c r="E64" s="672"/>
      <c r="F64" s="602"/>
      <c r="G64" s="602"/>
      <c r="H64" s="602"/>
      <c r="I64" s="602"/>
      <c r="J64" s="602"/>
      <c r="K64" s="602"/>
      <c r="L64" s="602"/>
      <c r="M64" s="602"/>
      <c r="N64" s="602"/>
      <c r="O64" s="602"/>
      <c r="P64" s="602"/>
      <c r="Q64" s="602"/>
      <c r="R64" s="602"/>
      <c r="S64" s="602"/>
      <c r="T64" s="602"/>
      <c r="U64" s="602"/>
      <c r="V64" s="602">
        <v>0</v>
      </c>
      <c r="W64" s="602"/>
      <c r="X64" s="602"/>
      <c r="Y64" s="602"/>
      <c r="Z64" s="602"/>
      <c r="AA64" s="602"/>
      <c r="AB64" s="602"/>
      <c r="AC64" s="602"/>
      <c r="AD64" s="520">
        <f t="shared" si="4"/>
        <v>0</v>
      </c>
      <c r="AE64" s="440">
        <f t="shared" si="5"/>
        <v>0</v>
      </c>
      <c r="AF64" s="425" t="str">
        <f t="shared" si="8"/>
        <v>sell</v>
      </c>
    </row>
    <row r="65" spans="1:32" s="339" customFormat="1" hidden="1" x14ac:dyDescent="0.2">
      <c r="A65" s="555" t="s">
        <v>278</v>
      </c>
      <c r="B65" s="438" t="s">
        <v>241</v>
      </c>
      <c r="C65" s="438" t="s">
        <v>280</v>
      </c>
      <c r="D65" s="672">
        <f t="shared" si="7"/>
        <v>-0.25</v>
      </c>
      <c r="E65" s="672"/>
      <c r="F65" s="602"/>
      <c r="G65" s="602"/>
      <c r="H65" s="602"/>
      <c r="I65" s="602"/>
      <c r="J65" s="602"/>
      <c r="K65" s="602"/>
      <c r="L65" s="602"/>
      <c r="M65" s="602"/>
      <c r="N65" s="602"/>
      <c r="O65" s="602"/>
      <c r="P65" s="602"/>
      <c r="Q65" s="602"/>
      <c r="R65" s="602"/>
      <c r="S65" s="602"/>
      <c r="T65" s="602"/>
      <c r="U65" s="602"/>
      <c r="V65" s="602"/>
      <c r="W65" s="602">
        <v>0</v>
      </c>
      <c r="X65" s="602"/>
      <c r="Y65" s="602"/>
      <c r="Z65" s="602"/>
      <c r="AA65" s="602"/>
      <c r="AB65" s="602"/>
      <c r="AC65" s="602"/>
      <c r="AD65" s="520">
        <f t="shared" si="4"/>
        <v>0</v>
      </c>
      <c r="AE65" s="440">
        <f t="shared" si="5"/>
        <v>0</v>
      </c>
      <c r="AF65" s="425" t="str">
        <f t="shared" si="8"/>
        <v>sell</v>
      </c>
    </row>
    <row r="66" spans="1:32" s="339" customFormat="1" hidden="1" x14ac:dyDescent="0.2">
      <c r="A66" s="555" t="s">
        <v>278</v>
      </c>
      <c r="B66" s="438" t="s">
        <v>241</v>
      </c>
      <c r="C66" s="438" t="s">
        <v>280</v>
      </c>
      <c r="D66" s="672">
        <f t="shared" si="7"/>
        <v>-0.25</v>
      </c>
      <c r="E66" s="672"/>
      <c r="F66" s="602"/>
      <c r="G66" s="602"/>
      <c r="H66" s="602"/>
      <c r="I66" s="602"/>
      <c r="J66" s="602"/>
      <c r="K66" s="602"/>
      <c r="L66" s="602"/>
      <c r="M66" s="602"/>
      <c r="N66" s="602"/>
      <c r="O66" s="602"/>
      <c r="P66" s="602"/>
      <c r="Q66" s="602"/>
      <c r="R66" s="602"/>
      <c r="S66" s="602"/>
      <c r="T66" s="602"/>
      <c r="U66" s="602"/>
      <c r="V66" s="602"/>
      <c r="W66" s="602"/>
      <c r="X66" s="602">
        <v>0</v>
      </c>
      <c r="Y66" s="602"/>
      <c r="Z66" s="602"/>
      <c r="AA66" s="602"/>
      <c r="AB66" s="602"/>
      <c r="AC66" s="602"/>
      <c r="AD66" s="520">
        <f t="shared" si="4"/>
        <v>0</v>
      </c>
      <c r="AE66" s="440">
        <f t="shared" si="5"/>
        <v>0</v>
      </c>
      <c r="AF66" s="425" t="str">
        <f t="shared" si="8"/>
        <v>sell</v>
      </c>
    </row>
    <row r="67" spans="1:32" s="339" customFormat="1" hidden="1" x14ac:dyDescent="0.2">
      <c r="A67" s="555" t="s">
        <v>278</v>
      </c>
      <c r="B67" s="438" t="s">
        <v>241</v>
      </c>
      <c r="C67" s="438" t="s">
        <v>280</v>
      </c>
      <c r="D67" s="672">
        <f t="shared" si="7"/>
        <v>-0.25</v>
      </c>
      <c r="E67" s="672"/>
      <c r="F67" s="602"/>
      <c r="G67" s="602"/>
      <c r="H67" s="602"/>
      <c r="I67" s="602"/>
      <c r="J67" s="602"/>
      <c r="K67" s="602"/>
      <c r="L67" s="602"/>
      <c r="M67" s="602"/>
      <c r="N67" s="602"/>
      <c r="O67" s="602"/>
      <c r="P67" s="602"/>
      <c r="Q67" s="602"/>
      <c r="R67" s="602"/>
      <c r="S67" s="602"/>
      <c r="T67" s="602"/>
      <c r="U67" s="602"/>
      <c r="V67" s="602"/>
      <c r="W67" s="602"/>
      <c r="X67" s="602"/>
      <c r="Y67" s="602">
        <v>0</v>
      </c>
      <c r="Z67" s="602"/>
      <c r="AA67" s="602"/>
      <c r="AB67" s="602"/>
      <c r="AC67" s="602"/>
      <c r="AD67" s="520">
        <f t="shared" si="4"/>
        <v>0</v>
      </c>
      <c r="AE67" s="440">
        <f t="shared" si="5"/>
        <v>0</v>
      </c>
      <c r="AF67" s="425" t="str">
        <f t="shared" si="8"/>
        <v>sell</v>
      </c>
    </row>
    <row r="68" spans="1:32" s="339" customFormat="1" hidden="1" x14ac:dyDescent="0.2">
      <c r="A68" s="555" t="s">
        <v>278</v>
      </c>
      <c r="B68" s="438" t="s">
        <v>241</v>
      </c>
      <c r="C68" s="438" t="s">
        <v>280</v>
      </c>
      <c r="D68" s="672">
        <f t="shared" si="7"/>
        <v>-0.25</v>
      </c>
      <c r="E68" s="672"/>
      <c r="F68" s="602"/>
      <c r="G68" s="602"/>
      <c r="H68" s="602"/>
      <c r="I68" s="602"/>
      <c r="J68" s="602"/>
      <c r="K68" s="602"/>
      <c r="L68" s="602"/>
      <c r="M68" s="602"/>
      <c r="N68" s="602"/>
      <c r="O68" s="602"/>
      <c r="P68" s="602"/>
      <c r="Q68" s="602"/>
      <c r="R68" s="602"/>
      <c r="S68" s="602"/>
      <c r="T68" s="602"/>
      <c r="U68" s="602"/>
      <c r="V68" s="602"/>
      <c r="W68" s="602"/>
      <c r="X68" s="602"/>
      <c r="Y68" s="602"/>
      <c r="Z68" s="602">
        <v>0</v>
      </c>
      <c r="AA68" s="602"/>
      <c r="AB68" s="602"/>
      <c r="AC68" s="602"/>
      <c r="AD68" s="520">
        <f t="shared" si="4"/>
        <v>0</v>
      </c>
      <c r="AE68" s="440">
        <f t="shared" si="5"/>
        <v>0</v>
      </c>
      <c r="AF68" s="425" t="str">
        <f t="shared" si="8"/>
        <v>sell</v>
      </c>
    </row>
    <row r="69" spans="1:32" s="339" customFormat="1" hidden="1" x14ac:dyDescent="0.2">
      <c r="A69" s="555" t="s">
        <v>278</v>
      </c>
      <c r="B69" s="438" t="s">
        <v>241</v>
      </c>
      <c r="C69" s="438" t="s">
        <v>280</v>
      </c>
      <c r="D69" s="672">
        <f t="shared" si="7"/>
        <v>-0.25</v>
      </c>
      <c r="E69" s="672"/>
      <c r="F69" s="602"/>
      <c r="G69" s="602"/>
      <c r="H69" s="602"/>
      <c r="I69" s="602"/>
      <c r="J69" s="602"/>
      <c r="K69" s="602"/>
      <c r="L69" s="602"/>
      <c r="M69" s="602"/>
      <c r="N69" s="602"/>
      <c r="O69" s="602"/>
      <c r="P69" s="602"/>
      <c r="Q69" s="602"/>
      <c r="R69" s="602"/>
      <c r="S69" s="602"/>
      <c r="T69" s="602"/>
      <c r="U69" s="602"/>
      <c r="V69" s="602"/>
      <c r="W69" s="602"/>
      <c r="X69" s="602"/>
      <c r="Y69" s="602"/>
      <c r="Z69" s="602"/>
      <c r="AA69" s="602">
        <v>0</v>
      </c>
      <c r="AB69" s="602"/>
      <c r="AC69" s="602"/>
      <c r="AD69" s="520">
        <f t="shared" si="4"/>
        <v>0</v>
      </c>
      <c r="AE69" s="440">
        <f t="shared" si="5"/>
        <v>0</v>
      </c>
      <c r="AF69" s="425" t="str">
        <f t="shared" si="8"/>
        <v>sell</v>
      </c>
    </row>
    <row r="70" spans="1:32" s="339" customFormat="1" hidden="1" x14ac:dyDescent="0.2">
      <c r="A70" s="555" t="s">
        <v>278</v>
      </c>
      <c r="B70" s="438" t="s">
        <v>241</v>
      </c>
      <c r="C70" s="438" t="s">
        <v>280</v>
      </c>
      <c r="D70" s="672">
        <f t="shared" si="7"/>
        <v>-0.25</v>
      </c>
      <c r="E70" s="672"/>
      <c r="F70" s="602"/>
      <c r="G70" s="602"/>
      <c r="H70" s="602"/>
      <c r="I70" s="602"/>
      <c r="J70" s="602"/>
      <c r="K70" s="602"/>
      <c r="L70" s="602"/>
      <c r="M70" s="602"/>
      <c r="N70" s="602"/>
      <c r="O70" s="602"/>
      <c r="P70" s="602"/>
      <c r="Q70" s="602"/>
      <c r="R70" s="602"/>
      <c r="S70" s="602"/>
      <c r="T70" s="602"/>
      <c r="U70" s="602"/>
      <c r="V70" s="602"/>
      <c r="W70" s="602"/>
      <c r="X70" s="602"/>
      <c r="Y70" s="602"/>
      <c r="Z70" s="602"/>
      <c r="AA70" s="602"/>
      <c r="AB70" s="602">
        <v>0</v>
      </c>
      <c r="AC70" s="602"/>
      <c r="AD70" s="520">
        <f t="shared" si="4"/>
        <v>0</v>
      </c>
      <c r="AE70" s="440">
        <f t="shared" si="5"/>
        <v>0</v>
      </c>
      <c r="AF70" s="425" t="str">
        <f t="shared" si="8"/>
        <v>sell</v>
      </c>
    </row>
    <row r="71" spans="1:32" s="339" customFormat="1" hidden="1" x14ac:dyDescent="0.2">
      <c r="A71" s="555"/>
      <c r="B71" s="438"/>
      <c r="C71" s="438"/>
      <c r="D71" s="672"/>
      <c r="E71" s="672"/>
      <c r="F71" s="602"/>
      <c r="G71" s="646"/>
      <c r="H71" s="602"/>
      <c r="I71" s="602"/>
      <c r="J71" s="602"/>
      <c r="K71" s="602"/>
      <c r="L71" s="602"/>
      <c r="M71" s="602"/>
      <c r="N71" s="602"/>
      <c r="O71" s="602"/>
      <c r="P71" s="602"/>
      <c r="Q71" s="602"/>
      <c r="R71" s="602"/>
      <c r="S71" s="602"/>
      <c r="T71" s="602"/>
      <c r="U71" s="602"/>
      <c r="V71" s="602"/>
      <c r="W71" s="602"/>
      <c r="X71" s="602"/>
      <c r="Y71" s="602"/>
      <c r="Z71" s="602"/>
      <c r="AA71" s="602"/>
      <c r="AB71" s="602"/>
      <c r="AC71" s="602"/>
      <c r="AD71" s="521">
        <f t="shared" si="4"/>
        <v>0</v>
      </c>
      <c r="AE71" s="511">
        <f t="shared" si="5"/>
        <v>0</v>
      </c>
      <c r="AF71" s="475" t="str">
        <f t="shared" si="8"/>
        <v>sell</v>
      </c>
    </row>
    <row r="72" spans="1:32" s="339" customFormat="1" ht="12.75" customHeight="1" x14ac:dyDescent="0.2">
      <c r="A72" s="567"/>
      <c r="B72" s="568"/>
      <c r="C72" s="568"/>
      <c r="D72" s="673"/>
      <c r="E72" s="673" t="s">
        <v>15</v>
      </c>
      <c r="F72" s="601"/>
      <c r="G72" s="646"/>
      <c r="H72" s="602"/>
      <c r="I72" s="602"/>
      <c r="J72" s="602"/>
      <c r="K72" s="602"/>
      <c r="L72" s="602"/>
      <c r="M72" s="602"/>
      <c r="N72" s="602"/>
      <c r="O72" s="602"/>
      <c r="P72" s="602"/>
      <c r="Q72" s="602"/>
      <c r="R72" s="602"/>
      <c r="S72" s="602"/>
      <c r="T72" s="602"/>
      <c r="U72" s="602"/>
      <c r="V72" s="602"/>
      <c r="W72" s="602"/>
      <c r="X72" s="602"/>
      <c r="Y72" s="602"/>
      <c r="Z72" s="602"/>
      <c r="AA72" s="602"/>
      <c r="AB72" s="602"/>
      <c r="AC72" s="601"/>
      <c r="AD72" s="521">
        <f>SUM(F72:AC72)</f>
        <v>0</v>
      </c>
      <c r="AE72" s="511">
        <f t="shared" si="5"/>
        <v>0</v>
      </c>
      <c r="AF72" s="475" t="str">
        <f t="shared" ref="AF72:AF78" si="9">IF(AD72&lt;0,"buy","sell")</f>
        <v>sell</v>
      </c>
    </row>
    <row r="73" spans="1:32" s="339" customFormat="1" ht="12.75" customHeight="1" x14ac:dyDescent="0.2">
      <c r="A73" s="555" t="s">
        <v>372</v>
      </c>
      <c r="B73" s="569" t="s">
        <v>241</v>
      </c>
      <c r="C73" s="569" t="s">
        <v>152</v>
      </c>
      <c r="D73" s="701">
        <v>110</v>
      </c>
      <c r="E73" s="675"/>
      <c r="F73" s="601">
        <v>24</v>
      </c>
      <c r="G73" s="601">
        <v>24</v>
      </c>
      <c r="H73" s="601">
        <v>24</v>
      </c>
      <c r="I73" s="601">
        <v>24</v>
      </c>
      <c r="J73" s="601">
        <v>24</v>
      </c>
      <c r="K73" s="601">
        <v>24</v>
      </c>
      <c r="L73" s="601"/>
      <c r="M73" s="601"/>
      <c r="N73" s="601"/>
      <c r="O73" s="601"/>
      <c r="P73" s="601"/>
      <c r="Q73" s="601"/>
      <c r="R73" s="601"/>
      <c r="S73" s="601"/>
      <c r="T73" s="601"/>
      <c r="U73" s="601"/>
      <c r="V73" s="601"/>
      <c r="W73" s="601"/>
      <c r="X73" s="601"/>
      <c r="Y73" s="601"/>
      <c r="Z73" s="601"/>
      <c r="AA73" s="601"/>
      <c r="AB73" s="601">
        <v>24</v>
      </c>
      <c r="AC73" s="601">
        <v>24</v>
      </c>
      <c r="AD73" s="521">
        <f t="shared" ref="AD73:AD119" si="10">SUM(E73:AC73)</f>
        <v>192</v>
      </c>
      <c r="AE73" s="511">
        <f t="shared" ref="AE73:AE78" si="11">AD73*D73</f>
        <v>21120</v>
      </c>
      <c r="AF73" s="475" t="str">
        <f t="shared" si="9"/>
        <v>sell</v>
      </c>
    </row>
    <row r="74" spans="1:32" s="339" customFormat="1" ht="12.75" customHeight="1" x14ac:dyDescent="0.2">
      <c r="A74" s="555" t="s">
        <v>368</v>
      </c>
      <c r="B74" s="569" t="s">
        <v>241</v>
      </c>
      <c r="C74" s="569" t="s">
        <v>152</v>
      </c>
      <c r="D74" s="701">
        <v>330</v>
      </c>
      <c r="E74" s="675"/>
      <c r="F74" s="601"/>
      <c r="G74" s="667"/>
      <c r="H74" s="667"/>
      <c r="I74" s="667"/>
      <c r="J74" s="667"/>
      <c r="K74" s="667"/>
      <c r="L74" s="667">
        <v>25</v>
      </c>
      <c r="M74" s="667">
        <v>25</v>
      </c>
      <c r="N74" s="667">
        <v>25</v>
      </c>
      <c r="O74" s="667">
        <v>25</v>
      </c>
      <c r="P74" s="667">
        <v>25</v>
      </c>
      <c r="Q74" s="667">
        <v>25</v>
      </c>
      <c r="R74" s="667">
        <v>25</v>
      </c>
      <c r="S74" s="667">
        <v>25</v>
      </c>
      <c r="T74" s="667">
        <v>25</v>
      </c>
      <c r="U74" s="667">
        <v>25</v>
      </c>
      <c r="V74" s="667">
        <v>25</v>
      </c>
      <c r="W74" s="667">
        <v>25</v>
      </c>
      <c r="X74" s="667">
        <v>25</v>
      </c>
      <c r="Y74" s="667">
        <v>25</v>
      </c>
      <c r="Z74" s="667">
        <v>25</v>
      </c>
      <c r="AA74" s="667">
        <v>25</v>
      </c>
      <c r="AB74" s="667"/>
      <c r="AC74" s="667"/>
      <c r="AD74" s="521">
        <f t="shared" si="10"/>
        <v>400</v>
      </c>
      <c r="AE74" s="511">
        <f t="shared" si="11"/>
        <v>132000</v>
      </c>
      <c r="AF74" s="475" t="str">
        <f t="shared" si="9"/>
        <v>sell</v>
      </c>
    </row>
    <row r="75" spans="1:32" s="339" customFormat="1" ht="12.75" customHeight="1" x14ac:dyDescent="0.2">
      <c r="A75" s="555" t="s">
        <v>368</v>
      </c>
      <c r="B75" s="569" t="s">
        <v>241</v>
      </c>
      <c r="C75" s="569" t="s">
        <v>152</v>
      </c>
      <c r="D75" s="701">
        <v>330</v>
      </c>
      <c r="E75" s="675"/>
      <c r="F75" s="601"/>
      <c r="G75" s="667"/>
      <c r="H75" s="667"/>
      <c r="I75" s="667"/>
      <c r="J75" s="667"/>
      <c r="K75" s="667"/>
      <c r="L75" s="667">
        <v>15</v>
      </c>
      <c r="M75" s="667">
        <v>15</v>
      </c>
      <c r="N75" s="667">
        <v>15</v>
      </c>
      <c r="O75" s="667">
        <v>15</v>
      </c>
      <c r="P75" s="667">
        <v>15</v>
      </c>
      <c r="Q75" s="667">
        <v>15</v>
      </c>
      <c r="R75" s="667">
        <v>15</v>
      </c>
      <c r="S75" s="667">
        <v>15</v>
      </c>
      <c r="T75" s="667">
        <v>15</v>
      </c>
      <c r="U75" s="667">
        <v>15</v>
      </c>
      <c r="V75" s="667">
        <v>15</v>
      </c>
      <c r="W75" s="667">
        <v>15</v>
      </c>
      <c r="X75" s="667">
        <v>15</v>
      </c>
      <c r="Y75" s="667">
        <v>15</v>
      </c>
      <c r="Z75" s="667">
        <v>15</v>
      </c>
      <c r="AA75" s="667">
        <v>15</v>
      </c>
      <c r="AB75" s="667"/>
      <c r="AC75" s="667"/>
      <c r="AD75" s="521">
        <f t="shared" si="10"/>
        <v>240</v>
      </c>
      <c r="AE75" s="511">
        <f>AD75*D75</f>
        <v>79200</v>
      </c>
      <c r="AF75" s="475" t="str">
        <f>IF(AD75&lt;0,"buy","sell")</f>
        <v>sell</v>
      </c>
    </row>
    <row r="76" spans="1:32" s="339" customFormat="1" ht="12.75" customHeight="1" x14ac:dyDescent="0.2">
      <c r="A76" s="555" t="s">
        <v>372</v>
      </c>
      <c r="B76" s="569" t="s">
        <v>241</v>
      </c>
      <c r="C76" s="569" t="s">
        <v>152</v>
      </c>
      <c r="D76" s="701">
        <v>110</v>
      </c>
      <c r="E76" s="675"/>
      <c r="F76" s="601">
        <v>6</v>
      </c>
      <c r="G76" s="667">
        <v>6</v>
      </c>
      <c r="H76" s="667">
        <v>6</v>
      </c>
      <c r="I76" s="667">
        <v>6</v>
      </c>
      <c r="J76" s="667">
        <v>6</v>
      </c>
      <c r="K76" s="667">
        <v>6</v>
      </c>
      <c r="L76" s="667"/>
      <c r="M76" s="667"/>
      <c r="N76" s="667"/>
      <c r="O76" s="667"/>
      <c r="P76" s="667"/>
      <c r="Q76" s="667"/>
      <c r="R76" s="667"/>
      <c r="S76" s="667"/>
      <c r="T76" s="667"/>
      <c r="U76" s="667"/>
      <c r="V76" s="667"/>
      <c r="W76" s="667"/>
      <c r="X76" s="667"/>
      <c r="Y76" s="667"/>
      <c r="Z76" s="667"/>
      <c r="AA76" s="667"/>
      <c r="AB76" s="667">
        <v>6</v>
      </c>
      <c r="AC76" s="667">
        <v>6</v>
      </c>
      <c r="AD76" s="521">
        <f t="shared" si="10"/>
        <v>48</v>
      </c>
      <c r="AE76" s="511">
        <f>AD76*D76</f>
        <v>5280</v>
      </c>
      <c r="AF76" s="475" t="str">
        <f>IF(AD76&lt;0,"buy","sell")</f>
        <v>sell</v>
      </c>
    </row>
    <row r="77" spans="1:32" s="339" customFormat="1" x14ac:dyDescent="0.2">
      <c r="A77" s="555"/>
      <c r="B77" s="569"/>
      <c r="C77" s="569"/>
      <c r="D77" s="674"/>
      <c r="E77" s="675"/>
      <c r="F77" s="602"/>
      <c r="G77" s="604"/>
      <c r="H77" s="604"/>
      <c r="I77" s="604"/>
      <c r="J77" s="604"/>
      <c r="K77" s="604"/>
      <c r="L77" s="604"/>
      <c r="M77" s="604"/>
      <c r="N77" s="604"/>
      <c r="O77" s="604"/>
      <c r="P77" s="604"/>
      <c r="Q77" s="604"/>
      <c r="R77" s="604"/>
      <c r="S77" s="604"/>
      <c r="T77" s="604"/>
      <c r="U77" s="604"/>
      <c r="V77" s="604"/>
      <c r="W77" s="604"/>
      <c r="X77" s="604"/>
      <c r="Y77" s="604"/>
      <c r="Z77" s="604"/>
      <c r="AA77" s="604"/>
      <c r="AB77" s="604"/>
      <c r="AC77" s="604"/>
      <c r="AD77" s="521">
        <f t="shared" si="10"/>
        <v>0</v>
      </c>
      <c r="AE77" s="511">
        <f t="shared" si="11"/>
        <v>0</v>
      </c>
      <c r="AF77" s="475" t="str">
        <f t="shared" si="9"/>
        <v>sell</v>
      </c>
    </row>
    <row r="78" spans="1:32" s="339" customFormat="1" ht="14.25" customHeight="1" x14ac:dyDescent="0.2">
      <c r="A78" s="556"/>
      <c r="B78" s="507"/>
      <c r="C78" s="507"/>
      <c r="D78" s="676"/>
      <c r="E78" s="677"/>
      <c r="F78" s="647"/>
      <c r="G78" s="648"/>
      <c r="H78" s="648"/>
      <c r="I78" s="648"/>
      <c r="J78" s="648"/>
      <c r="K78" s="648"/>
      <c r="L78" s="648"/>
      <c r="M78" s="648"/>
      <c r="N78" s="648"/>
      <c r="O78" s="648"/>
      <c r="P78" s="648"/>
      <c r="Q78" s="648"/>
      <c r="R78" s="648"/>
      <c r="S78" s="648"/>
      <c r="T78" s="648"/>
      <c r="U78" s="648"/>
      <c r="V78" s="648"/>
      <c r="W78" s="648"/>
      <c r="X78" s="648"/>
      <c r="Y78" s="648"/>
      <c r="Z78" s="648"/>
      <c r="AA78" s="648"/>
      <c r="AB78" s="648"/>
      <c r="AC78" s="648"/>
      <c r="AD78" s="570">
        <f t="shared" si="10"/>
        <v>0</v>
      </c>
      <c r="AE78" s="511">
        <f t="shared" si="11"/>
        <v>0</v>
      </c>
      <c r="AF78" s="475" t="str">
        <f t="shared" si="9"/>
        <v>sell</v>
      </c>
    </row>
    <row r="79" spans="1:32" s="339" customFormat="1" ht="14.25" customHeight="1" x14ac:dyDescent="0.2">
      <c r="A79" s="556" t="s">
        <v>68</v>
      </c>
      <c r="B79" s="507" t="s">
        <v>365</v>
      </c>
      <c r="C79" s="507" t="s">
        <v>152</v>
      </c>
      <c r="D79" s="676">
        <v>40</v>
      </c>
      <c r="E79" s="677"/>
      <c r="F79" s="647">
        <v>35</v>
      </c>
      <c r="G79" s="648"/>
      <c r="H79" s="648"/>
      <c r="I79" s="648"/>
      <c r="J79" s="648"/>
      <c r="K79" s="648"/>
      <c r="L79" s="648"/>
      <c r="M79" s="648"/>
      <c r="N79" s="648"/>
      <c r="O79" s="648"/>
      <c r="P79" s="648"/>
      <c r="Q79" s="648"/>
      <c r="R79" s="648"/>
      <c r="S79" s="648"/>
      <c r="T79" s="648"/>
      <c r="U79" s="648"/>
      <c r="V79" s="648"/>
      <c r="W79" s="648"/>
      <c r="X79" s="648"/>
      <c r="Y79" s="648"/>
      <c r="Z79" s="648"/>
      <c r="AA79" s="648"/>
      <c r="AB79" s="648"/>
      <c r="AC79" s="648"/>
      <c r="AD79" s="570">
        <f t="shared" si="10"/>
        <v>35</v>
      </c>
      <c r="AE79" s="511">
        <f t="shared" ref="AE79:AE118" si="12">AD79*D79</f>
        <v>1400</v>
      </c>
      <c r="AF79" s="475" t="str">
        <f t="shared" ref="AF79:AF118" si="13">IF(AD79&lt;0,"buy","sell")</f>
        <v>sell</v>
      </c>
    </row>
    <row r="80" spans="1:32" s="339" customFormat="1" ht="14.25" customHeight="1" x14ac:dyDescent="0.2">
      <c r="A80" s="556" t="s">
        <v>68</v>
      </c>
      <c r="B80" s="507" t="s">
        <v>365</v>
      </c>
      <c r="C80" s="507" t="s">
        <v>152</v>
      </c>
      <c r="D80" s="676">
        <v>40</v>
      </c>
      <c r="E80" s="677"/>
      <c r="F80" s="647"/>
      <c r="G80" s="648"/>
      <c r="H80" s="648"/>
      <c r="I80" s="648"/>
      <c r="J80" s="648"/>
      <c r="K80" s="648"/>
      <c r="L80" s="648"/>
      <c r="M80" s="648">
        <v>50</v>
      </c>
      <c r="N80" s="648"/>
      <c r="O80" s="703"/>
      <c r="P80" s="703"/>
      <c r="Q80" s="703"/>
      <c r="R80" s="703"/>
      <c r="S80" s="648"/>
      <c r="T80" s="648"/>
      <c r="U80" s="648"/>
      <c r="V80" s="648"/>
      <c r="W80" s="648"/>
      <c r="X80" s="648"/>
      <c r="Y80" s="648"/>
      <c r="Z80" s="648"/>
      <c r="AA80" s="648"/>
      <c r="AB80" s="648"/>
      <c r="AC80" s="648"/>
      <c r="AD80" s="570">
        <f t="shared" si="10"/>
        <v>50</v>
      </c>
      <c r="AE80" s="511">
        <f t="shared" si="12"/>
        <v>2000</v>
      </c>
      <c r="AF80" s="475" t="str">
        <f t="shared" si="13"/>
        <v>sell</v>
      </c>
    </row>
    <row r="81" spans="1:32" s="339" customFormat="1" ht="14.25" customHeight="1" x14ac:dyDescent="0.2">
      <c r="A81" s="556" t="s">
        <v>68</v>
      </c>
      <c r="B81" s="507" t="s">
        <v>365</v>
      </c>
      <c r="C81" s="507" t="s">
        <v>152</v>
      </c>
      <c r="D81" s="676">
        <v>60</v>
      </c>
      <c r="E81" s="677"/>
      <c r="F81" s="647"/>
      <c r="G81" s="648"/>
      <c r="H81" s="648"/>
      <c r="I81" s="648"/>
      <c r="J81" s="648"/>
      <c r="K81" s="648"/>
      <c r="L81" s="648"/>
      <c r="M81" s="648"/>
      <c r="N81" s="648">
        <v>100</v>
      </c>
      <c r="O81" s="703"/>
      <c r="P81" s="703"/>
      <c r="Q81" s="703"/>
      <c r="R81" s="703"/>
      <c r="S81" s="648"/>
      <c r="T81" s="648"/>
      <c r="U81" s="648"/>
      <c r="V81" s="648"/>
      <c r="W81" s="648"/>
      <c r="X81" s="648"/>
      <c r="Y81" s="648"/>
      <c r="Z81" s="648"/>
      <c r="AA81" s="648"/>
      <c r="AB81" s="648"/>
      <c r="AC81" s="648"/>
      <c r="AD81" s="570">
        <f t="shared" si="10"/>
        <v>100</v>
      </c>
      <c r="AE81" s="511">
        <f t="shared" si="12"/>
        <v>6000</v>
      </c>
      <c r="AF81" s="475" t="str">
        <f t="shared" si="13"/>
        <v>sell</v>
      </c>
    </row>
    <row r="82" spans="1:32" s="339" customFormat="1" ht="14.25" customHeight="1" x14ac:dyDescent="0.2">
      <c r="A82" s="556" t="s">
        <v>68</v>
      </c>
      <c r="B82" s="507" t="s">
        <v>365</v>
      </c>
      <c r="C82" s="507" t="s">
        <v>152</v>
      </c>
      <c r="D82" s="676">
        <v>75</v>
      </c>
      <c r="E82" s="677"/>
      <c r="F82" s="647"/>
      <c r="G82" s="648"/>
      <c r="H82" s="648"/>
      <c r="I82" s="648"/>
      <c r="J82" s="648"/>
      <c r="K82" s="648"/>
      <c r="L82" s="648"/>
      <c r="M82" s="648"/>
      <c r="N82" s="648"/>
      <c r="O82" s="648">
        <v>100</v>
      </c>
      <c r="P82" s="703"/>
      <c r="Q82" s="648"/>
      <c r="R82" s="703"/>
      <c r="S82" s="648"/>
      <c r="T82" s="648"/>
      <c r="U82" s="648"/>
      <c r="V82" s="648"/>
      <c r="W82" s="648"/>
      <c r="X82" s="648"/>
      <c r="Y82" s="648"/>
      <c r="Z82" s="648"/>
      <c r="AA82" s="648"/>
      <c r="AB82" s="648"/>
      <c r="AC82" s="648"/>
      <c r="AD82" s="570">
        <f t="shared" si="10"/>
        <v>100</v>
      </c>
      <c r="AE82" s="511">
        <f t="shared" si="12"/>
        <v>7500</v>
      </c>
      <c r="AF82" s="475" t="str">
        <f t="shared" si="13"/>
        <v>sell</v>
      </c>
    </row>
    <row r="83" spans="1:32" s="339" customFormat="1" ht="14.25" customHeight="1" x14ac:dyDescent="0.2">
      <c r="A83" s="556" t="s">
        <v>68</v>
      </c>
      <c r="B83" s="507" t="s">
        <v>365</v>
      </c>
      <c r="C83" s="507" t="s">
        <v>152</v>
      </c>
      <c r="D83" s="676">
        <v>100</v>
      </c>
      <c r="E83" s="677"/>
      <c r="F83" s="647"/>
      <c r="G83" s="648"/>
      <c r="H83" s="648"/>
      <c r="I83" s="648"/>
      <c r="J83" s="648"/>
      <c r="K83" s="648"/>
      <c r="L83" s="648"/>
      <c r="M83" s="648"/>
      <c r="N83" s="648"/>
      <c r="O83" s="648"/>
      <c r="P83" s="703"/>
      <c r="Q83" s="648"/>
      <c r="R83" s="703"/>
      <c r="S83" s="648"/>
      <c r="T83" s="648"/>
      <c r="U83" s="648"/>
      <c r="V83" s="648"/>
      <c r="W83" s="648"/>
      <c r="X83" s="648"/>
      <c r="Y83" s="648">
        <v>75</v>
      </c>
      <c r="Z83" s="648">
        <v>75</v>
      </c>
      <c r="AA83" s="648">
        <v>125</v>
      </c>
      <c r="AB83" s="648"/>
      <c r="AC83" s="648"/>
      <c r="AD83" s="521">
        <f>SUM(E83:AC83)</f>
        <v>275</v>
      </c>
      <c r="AE83" s="511">
        <f>AD83*D83</f>
        <v>27500</v>
      </c>
      <c r="AF83" s="475" t="str">
        <f>IF(AD83&lt;0,"buy","sell")</f>
        <v>sell</v>
      </c>
    </row>
    <row r="84" spans="1:32" s="339" customFormat="1" ht="14.25" customHeight="1" x14ac:dyDescent="0.2">
      <c r="A84" s="556" t="s">
        <v>375</v>
      </c>
      <c r="B84" s="507" t="s">
        <v>365</v>
      </c>
      <c r="C84" s="507" t="s">
        <v>280</v>
      </c>
      <c r="D84" s="676">
        <v>45</v>
      </c>
      <c r="E84" s="677"/>
      <c r="F84" s="647"/>
      <c r="G84" s="648"/>
      <c r="H84" s="648"/>
      <c r="I84" s="648"/>
      <c r="J84" s="648"/>
      <c r="K84" s="648"/>
      <c r="L84" s="648"/>
      <c r="M84" s="648">
        <v>6</v>
      </c>
      <c r="N84" s="648"/>
      <c r="O84" s="648"/>
      <c r="P84" s="648"/>
      <c r="Q84" s="648"/>
      <c r="R84" s="703"/>
      <c r="S84" s="648"/>
      <c r="T84" s="648"/>
      <c r="U84" s="648"/>
      <c r="V84" s="648"/>
      <c r="W84" s="648"/>
      <c r="X84" s="648"/>
      <c r="Y84" s="648"/>
      <c r="Z84" s="648"/>
      <c r="AA84" s="648"/>
      <c r="AB84" s="648"/>
      <c r="AC84" s="648"/>
      <c r="AD84" s="521">
        <f t="shared" si="10"/>
        <v>6</v>
      </c>
      <c r="AE84" s="511">
        <f t="shared" si="12"/>
        <v>270</v>
      </c>
      <c r="AF84" s="475" t="str">
        <f t="shared" si="13"/>
        <v>sell</v>
      </c>
    </row>
    <row r="85" spans="1:32" s="339" customFormat="1" ht="14.25" customHeight="1" x14ac:dyDescent="0.2">
      <c r="A85" s="556" t="s">
        <v>375</v>
      </c>
      <c r="B85" s="507" t="s">
        <v>365</v>
      </c>
      <c r="C85" s="507" t="s">
        <v>280</v>
      </c>
      <c r="D85" s="676">
        <v>65</v>
      </c>
      <c r="E85" s="677"/>
      <c r="F85" s="647"/>
      <c r="G85" s="648"/>
      <c r="H85" s="648"/>
      <c r="I85" s="648"/>
      <c r="J85" s="648"/>
      <c r="K85" s="648"/>
      <c r="L85" s="648"/>
      <c r="M85" s="648"/>
      <c r="N85" s="648">
        <v>15</v>
      </c>
      <c r="O85" s="648"/>
      <c r="P85" s="648"/>
      <c r="Q85" s="648"/>
      <c r="R85" s="703"/>
      <c r="S85" s="648"/>
      <c r="T85" s="648"/>
      <c r="U85" s="648"/>
      <c r="V85" s="648"/>
      <c r="W85" s="648"/>
      <c r="X85" s="648"/>
      <c r="Y85" s="648"/>
      <c r="Z85" s="648"/>
      <c r="AA85" s="648"/>
      <c r="AB85" s="648"/>
      <c r="AC85" s="648"/>
      <c r="AD85" s="521">
        <f t="shared" si="10"/>
        <v>15</v>
      </c>
      <c r="AE85" s="511">
        <f t="shared" si="12"/>
        <v>975</v>
      </c>
      <c r="AF85" s="475" t="str">
        <f t="shared" si="13"/>
        <v>sell</v>
      </c>
    </row>
    <row r="86" spans="1:32" s="339" customFormat="1" ht="14.25" customHeight="1" x14ac:dyDescent="0.2">
      <c r="A86" s="556" t="s">
        <v>375</v>
      </c>
      <c r="B86" s="507" t="s">
        <v>365</v>
      </c>
      <c r="C86" s="507" t="s">
        <v>152</v>
      </c>
      <c r="D86" s="676">
        <v>100</v>
      </c>
      <c r="E86" s="677"/>
      <c r="F86" s="647"/>
      <c r="G86" s="648"/>
      <c r="H86" s="648"/>
      <c r="I86" s="648"/>
      <c r="J86" s="648"/>
      <c r="K86" s="648"/>
      <c r="L86" s="648"/>
      <c r="M86" s="648"/>
      <c r="N86" s="648"/>
      <c r="O86" s="648">
        <v>20</v>
      </c>
      <c r="P86" s="648"/>
      <c r="Q86" s="648"/>
      <c r="R86" s="648"/>
      <c r="S86" s="648"/>
      <c r="T86" s="648"/>
      <c r="U86" s="648"/>
      <c r="V86" s="648"/>
      <c r="W86" s="648"/>
      <c r="X86" s="648"/>
      <c r="Y86" s="648"/>
      <c r="Z86" s="648"/>
      <c r="AA86" s="648"/>
      <c r="AB86" s="648"/>
      <c r="AC86" s="648"/>
      <c r="AD86" s="521">
        <f t="shared" si="10"/>
        <v>20</v>
      </c>
      <c r="AE86" s="511">
        <f t="shared" si="12"/>
        <v>2000</v>
      </c>
      <c r="AF86" s="475" t="str">
        <f t="shared" si="13"/>
        <v>sell</v>
      </c>
    </row>
    <row r="87" spans="1:32" s="339" customFormat="1" ht="14.25" customHeight="1" x14ac:dyDescent="0.2">
      <c r="A87" s="556" t="s">
        <v>375</v>
      </c>
      <c r="B87" s="507" t="s">
        <v>365</v>
      </c>
      <c r="C87" s="507" t="s">
        <v>152</v>
      </c>
      <c r="D87" s="676">
        <v>130</v>
      </c>
      <c r="E87" s="677"/>
      <c r="F87" s="647"/>
      <c r="G87" s="648"/>
      <c r="H87" s="648"/>
      <c r="I87" s="648"/>
      <c r="J87" s="648"/>
      <c r="K87" s="648"/>
      <c r="L87" s="648"/>
      <c r="M87" s="648"/>
      <c r="N87" s="648"/>
      <c r="O87" s="648"/>
      <c r="P87" s="648">
        <v>75</v>
      </c>
      <c r="Q87" s="648"/>
      <c r="R87" s="648"/>
      <c r="S87" s="648"/>
      <c r="T87" s="648"/>
      <c r="U87" s="648"/>
      <c r="V87" s="648"/>
      <c r="W87" s="648"/>
      <c r="X87" s="648"/>
      <c r="Y87" s="648"/>
      <c r="Z87" s="648"/>
      <c r="AA87" s="648"/>
      <c r="AB87" s="648"/>
      <c r="AC87" s="648"/>
      <c r="AD87" s="521">
        <f t="shared" si="10"/>
        <v>75</v>
      </c>
      <c r="AE87" s="511">
        <f t="shared" si="12"/>
        <v>9750</v>
      </c>
      <c r="AF87" s="475" t="str">
        <f t="shared" si="13"/>
        <v>sell</v>
      </c>
    </row>
    <row r="88" spans="1:32" s="339" customFormat="1" ht="14.25" customHeight="1" x14ac:dyDescent="0.2">
      <c r="A88" s="556" t="s">
        <v>375</v>
      </c>
      <c r="B88" s="507" t="s">
        <v>365</v>
      </c>
      <c r="C88" s="507" t="s">
        <v>152</v>
      </c>
      <c r="D88" s="676">
        <v>150</v>
      </c>
      <c r="E88" s="677"/>
      <c r="F88" s="647"/>
      <c r="G88" s="648"/>
      <c r="H88" s="648"/>
      <c r="I88" s="648"/>
      <c r="J88" s="648"/>
      <c r="K88" s="648"/>
      <c r="L88" s="648"/>
      <c r="M88" s="648"/>
      <c r="N88" s="648"/>
      <c r="O88" s="648"/>
      <c r="P88" s="648"/>
      <c r="Q88" s="648">
        <v>76</v>
      </c>
      <c r="R88" s="648"/>
      <c r="S88" s="703"/>
      <c r="T88" s="703"/>
      <c r="U88" s="703"/>
      <c r="V88" s="648"/>
      <c r="W88" s="648"/>
      <c r="X88" s="648"/>
      <c r="Y88" s="648"/>
      <c r="Z88" s="648"/>
      <c r="AA88" s="648"/>
      <c r="AB88" s="648"/>
      <c r="AC88" s="648"/>
      <c r="AD88" s="521">
        <f t="shared" si="10"/>
        <v>76</v>
      </c>
      <c r="AE88" s="511">
        <f t="shared" si="12"/>
        <v>11400</v>
      </c>
      <c r="AF88" s="475" t="str">
        <f t="shared" si="13"/>
        <v>sell</v>
      </c>
    </row>
    <row r="89" spans="1:32" s="339" customFormat="1" ht="14.25" customHeight="1" x14ac:dyDescent="0.2">
      <c r="A89" s="556" t="s">
        <v>375</v>
      </c>
      <c r="B89" s="507" t="s">
        <v>365</v>
      </c>
      <c r="C89" s="507" t="s">
        <v>152</v>
      </c>
      <c r="D89" s="676">
        <v>175</v>
      </c>
      <c r="E89" s="677"/>
      <c r="F89" s="647"/>
      <c r="G89" s="648"/>
      <c r="H89" s="648"/>
      <c r="I89" s="648"/>
      <c r="J89" s="648"/>
      <c r="K89" s="648"/>
      <c r="L89" s="648"/>
      <c r="M89" s="648"/>
      <c r="N89" s="648"/>
      <c r="O89" s="648"/>
      <c r="P89" s="648"/>
      <c r="Q89" s="648"/>
      <c r="R89" s="648">
        <v>1</v>
      </c>
      <c r="S89" s="648"/>
      <c r="T89" s="648"/>
      <c r="U89" s="648"/>
      <c r="V89" s="648"/>
      <c r="W89" s="648"/>
      <c r="X89" s="648"/>
      <c r="Y89" s="648"/>
      <c r="Z89" s="648"/>
      <c r="AA89" s="648"/>
      <c r="AB89" s="648"/>
      <c r="AC89" s="648"/>
      <c r="AD89" s="521">
        <f t="shared" si="10"/>
        <v>1</v>
      </c>
      <c r="AE89" s="511">
        <f t="shared" si="12"/>
        <v>175</v>
      </c>
      <c r="AF89" s="475" t="str">
        <f t="shared" si="13"/>
        <v>sell</v>
      </c>
    </row>
    <row r="90" spans="1:32" s="339" customFormat="1" ht="14.25" customHeight="1" x14ac:dyDescent="0.2">
      <c r="A90" s="556" t="s">
        <v>375</v>
      </c>
      <c r="B90" s="507" t="s">
        <v>365</v>
      </c>
      <c r="C90" s="507" t="s">
        <v>152</v>
      </c>
      <c r="D90" s="676">
        <v>250</v>
      </c>
      <c r="E90" s="677"/>
      <c r="F90" s="647"/>
      <c r="G90" s="648"/>
      <c r="H90" s="648"/>
      <c r="I90" s="648"/>
      <c r="J90" s="648"/>
      <c r="K90" s="648"/>
      <c r="L90" s="648"/>
      <c r="M90" s="648"/>
      <c r="N90" s="648"/>
      <c r="O90" s="648"/>
      <c r="P90" s="648"/>
      <c r="Q90" s="648"/>
      <c r="R90" s="648"/>
      <c r="S90" s="648">
        <v>1</v>
      </c>
      <c r="T90" s="648">
        <v>1</v>
      </c>
      <c r="U90" s="648">
        <v>1</v>
      </c>
      <c r="V90" s="648">
        <v>1</v>
      </c>
      <c r="W90" s="648"/>
      <c r="X90" s="648"/>
      <c r="Y90" s="648"/>
      <c r="Z90" s="648"/>
      <c r="AA90" s="648"/>
      <c r="AB90" s="648"/>
      <c r="AC90" s="648"/>
      <c r="AD90" s="521">
        <f t="shared" si="10"/>
        <v>4</v>
      </c>
      <c r="AE90" s="511">
        <f t="shared" si="12"/>
        <v>1000</v>
      </c>
      <c r="AF90" s="475" t="str">
        <f t="shared" si="13"/>
        <v>sell</v>
      </c>
    </row>
    <row r="91" spans="1:32" s="339" customFormat="1" ht="14.25" customHeight="1" x14ac:dyDescent="0.2">
      <c r="A91" s="556" t="s">
        <v>64</v>
      </c>
      <c r="B91" s="507" t="s">
        <v>365</v>
      </c>
      <c r="C91" s="507" t="s">
        <v>152</v>
      </c>
      <c r="D91" s="676">
        <v>45</v>
      </c>
      <c r="E91" s="677"/>
      <c r="F91" s="647"/>
      <c r="G91" s="648"/>
      <c r="H91" s="648"/>
      <c r="I91" s="648">
        <v>19</v>
      </c>
      <c r="J91" s="648"/>
      <c r="K91" s="648"/>
      <c r="L91" s="648"/>
      <c r="M91" s="648"/>
      <c r="N91" s="648"/>
      <c r="O91" s="648"/>
      <c r="P91" s="648"/>
      <c r="Q91" s="648"/>
      <c r="R91" s="648"/>
      <c r="S91" s="703"/>
      <c r="T91" s="703"/>
      <c r="U91" s="703"/>
      <c r="V91" s="648"/>
      <c r="W91" s="648"/>
      <c r="X91" s="648"/>
      <c r="Y91" s="648"/>
      <c r="Z91" s="648"/>
      <c r="AA91" s="648"/>
      <c r="AB91" s="648"/>
      <c r="AC91" s="648"/>
      <c r="AD91" s="521">
        <f t="shared" si="10"/>
        <v>19</v>
      </c>
      <c r="AE91" s="511">
        <f t="shared" si="12"/>
        <v>855</v>
      </c>
      <c r="AF91" s="475" t="str">
        <f t="shared" si="13"/>
        <v>sell</v>
      </c>
    </row>
    <row r="92" spans="1:32" s="339" customFormat="1" ht="14.25" customHeight="1" x14ac:dyDescent="0.2">
      <c r="A92" s="556" t="s">
        <v>66</v>
      </c>
      <c r="B92" s="507" t="s">
        <v>365</v>
      </c>
      <c r="C92" s="507" t="s">
        <v>152</v>
      </c>
      <c r="D92" s="676">
        <v>10</v>
      </c>
      <c r="E92" s="677"/>
      <c r="F92" s="647"/>
      <c r="G92" s="648"/>
      <c r="H92" s="648"/>
      <c r="I92" s="648"/>
      <c r="J92" s="648"/>
      <c r="K92" s="648"/>
      <c r="L92" s="648">
        <v>100</v>
      </c>
      <c r="M92" s="648"/>
      <c r="N92" s="648"/>
      <c r="O92" s="648"/>
      <c r="P92" s="648"/>
      <c r="Q92" s="648"/>
      <c r="R92" s="648"/>
      <c r="S92" s="703"/>
      <c r="T92" s="703"/>
      <c r="U92" s="703"/>
      <c r="V92" s="648"/>
      <c r="W92" s="648"/>
      <c r="X92" s="648"/>
      <c r="Y92" s="648"/>
      <c r="Z92" s="648"/>
      <c r="AA92" s="648"/>
      <c r="AB92" s="648"/>
      <c r="AC92" s="648"/>
      <c r="AD92" s="521">
        <f t="shared" si="10"/>
        <v>100</v>
      </c>
      <c r="AE92" s="511">
        <f t="shared" si="12"/>
        <v>1000</v>
      </c>
      <c r="AF92" s="475" t="str">
        <f t="shared" si="13"/>
        <v>sell</v>
      </c>
    </row>
    <row r="93" spans="1:32" s="339" customFormat="1" ht="14.25" customHeight="1" x14ac:dyDescent="0.2">
      <c r="A93" s="556" t="s">
        <v>66</v>
      </c>
      <c r="B93" s="507" t="s">
        <v>365</v>
      </c>
      <c r="C93" s="507" t="s">
        <v>152</v>
      </c>
      <c r="D93" s="676">
        <v>15</v>
      </c>
      <c r="E93" s="677"/>
      <c r="F93" s="647"/>
      <c r="G93" s="648"/>
      <c r="H93" s="648"/>
      <c r="I93" s="648"/>
      <c r="J93" s="648"/>
      <c r="K93" s="648"/>
      <c r="L93" s="648"/>
      <c r="M93" s="648">
        <v>100</v>
      </c>
      <c r="N93" s="648"/>
      <c r="O93" s="648"/>
      <c r="P93" s="648"/>
      <c r="Q93" s="648"/>
      <c r="R93" s="648"/>
      <c r="S93" s="703"/>
      <c r="T93" s="703"/>
      <c r="U93" s="703"/>
      <c r="V93" s="648"/>
      <c r="W93" s="648"/>
      <c r="X93" s="648"/>
      <c r="Y93" s="648"/>
      <c r="Z93" s="648"/>
      <c r="AA93" s="648"/>
      <c r="AB93" s="648"/>
      <c r="AC93" s="648"/>
      <c r="AD93" s="521">
        <f t="shared" si="10"/>
        <v>100</v>
      </c>
      <c r="AE93" s="511">
        <f t="shared" si="12"/>
        <v>1500</v>
      </c>
      <c r="AF93" s="475" t="str">
        <f t="shared" si="13"/>
        <v>sell</v>
      </c>
    </row>
    <row r="94" spans="1:32" s="339" customFormat="1" ht="14.25" customHeight="1" x14ac:dyDescent="0.2">
      <c r="A94" s="556" t="s">
        <v>66</v>
      </c>
      <c r="B94" s="507" t="s">
        <v>365</v>
      </c>
      <c r="C94" s="507" t="s">
        <v>152</v>
      </c>
      <c r="D94" s="676">
        <v>60</v>
      </c>
      <c r="E94" s="677"/>
      <c r="F94" s="647"/>
      <c r="G94" s="648"/>
      <c r="H94" s="648"/>
      <c r="I94" s="648"/>
      <c r="J94" s="648"/>
      <c r="K94" s="648"/>
      <c r="L94" s="648"/>
      <c r="M94" s="648"/>
      <c r="N94" s="648">
        <v>100</v>
      </c>
      <c r="O94" s="648"/>
      <c r="P94" s="648"/>
      <c r="Q94" s="648"/>
      <c r="R94" s="648"/>
      <c r="S94" s="703"/>
      <c r="T94" s="703"/>
      <c r="U94" s="703"/>
      <c r="V94" s="648"/>
      <c r="W94" s="648"/>
      <c r="X94" s="648"/>
      <c r="Y94" s="648"/>
      <c r="Z94" s="648"/>
      <c r="AA94" s="648"/>
      <c r="AB94" s="648"/>
      <c r="AC94" s="648"/>
      <c r="AD94" s="521">
        <f t="shared" si="10"/>
        <v>100</v>
      </c>
      <c r="AE94" s="511">
        <f t="shared" si="12"/>
        <v>6000</v>
      </c>
      <c r="AF94" s="475" t="str">
        <f t="shared" si="13"/>
        <v>sell</v>
      </c>
    </row>
    <row r="95" spans="1:32" s="339" customFormat="1" ht="14.25" customHeight="1" x14ac:dyDescent="0.2">
      <c r="A95" s="556" t="s">
        <v>66</v>
      </c>
      <c r="B95" s="507" t="s">
        <v>365</v>
      </c>
      <c r="C95" s="507" t="s">
        <v>152</v>
      </c>
      <c r="D95" s="676">
        <v>80</v>
      </c>
      <c r="E95" s="677"/>
      <c r="F95" s="647"/>
      <c r="G95" s="648"/>
      <c r="H95" s="648"/>
      <c r="I95" s="648"/>
      <c r="J95" s="648"/>
      <c r="K95" s="648"/>
      <c r="L95" s="648"/>
      <c r="M95" s="648"/>
      <c r="N95" s="648"/>
      <c r="O95" s="648">
        <v>50</v>
      </c>
      <c r="P95" s="648"/>
      <c r="Q95" s="648"/>
      <c r="R95" s="648"/>
      <c r="S95" s="703"/>
      <c r="T95" s="703"/>
      <c r="U95" s="703"/>
      <c r="V95" s="648"/>
      <c r="W95" s="648"/>
      <c r="X95" s="648"/>
      <c r="Y95" s="648"/>
      <c r="Z95" s="648"/>
      <c r="AA95" s="648"/>
      <c r="AB95" s="648"/>
      <c r="AC95" s="648"/>
      <c r="AD95" s="521">
        <f t="shared" si="10"/>
        <v>50</v>
      </c>
      <c r="AE95" s="511">
        <f t="shared" si="12"/>
        <v>4000</v>
      </c>
      <c r="AF95" s="475" t="str">
        <f t="shared" si="13"/>
        <v>sell</v>
      </c>
    </row>
    <row r="96" spans="1:32" s="339" customFormat="1" ht="14.25" customHeight="1" x14ac:dyDescent="0.2">
      <c r="A96" s="556" t="s">
        <v>66</v>
      </c>
      <c r="B96" s="507" t="s">
        <v>365</v>
      </c>
      <c r="C96" s="507" t="s">
        <v>152</v>
      </c>
      <c r="D96" s="676">
        <v>95</v>
      </c>
      <c r="E96" s="677"/>
      <c r="F96" s="647"/>
      <c r="G96" s="648"/>
      <c r="H96" s="648"/>
      <c r="I96" s="648"/>
      <c r="J96" s="648"/>
      <c r="K96" s="648"/>
      <c r="L96" s="648"/>
      <c r="M96" s="648"/>
      <c r="N96" s="648"/>
      <c r="O96" s="648"/>
      <c r="P96" s="648">
        <v>20</v>
      </c>
      <c r="Q96" s="648"/>
      <c r="R96" s="648"/>
      <c r="S96" s="703"/>
      <c r="T96" s="703"/>
      <c r="U96" s="703"/>
      <c r="V96" s="648"/>
      <c r="W96" s="648"/>
      <c r="X96" s="648"/>
      <c r="Y96" s="648"/>
      <c r="Z96" s="648"/>
      <c r="AA96" s="648"/>
      <c r="AB96" s="648"/>
      <c r="AC96" s="648"/>
      <c r="AD96" s="521">
        <f t="shared" si="10"/>
        <v>20</v>
      </c>
      <c r="AE96" s="511">
        <f t="shared" si="12"/>
        <v>1900</v>
      </c>
      <c r="AF96" s="475" t="str">
        <f t="shared" si="13"/>
        <v>sell</v>
      </c>
    </row>
    <row r="97" spans="1:32" s="339" customFormat="1" ht="14.25" customHeight="1" x14ac:dyDescent="0.2">
      <c r="A97" s="556" t="s">
        <v>66</v>
      </c>
      <c r="B97" s="507" t="s">
        <v>365</v>
      </c>
      <c r="C97" s="507" t="s">
        <v>152</v>
      </c>
      <c r="D97" s="676">
        <v>30</v>
      </c>
      <c r="E97" s="677"/>
      <c r="F97" s="647"/>
      <c r="G97" s="648"/>
      <c r="H97" s="648"/>
      <c r="I97" s="648"/>
      <c r="J97" s="648"/>
      <c r="K97" s="648"/>
      <c r="L97" s="648"/>
      <c r="M97" s="648"/>
      <c r="N97" s="648"/>
      <c r="O97" s="648"/>
      <c r="P97" s="648"/>
      <c r="Q97" s="648"/>
      <c r="R97" s="648"/>
      <c r="S97" s="703"/>
      <c r="T97" s="703"/>
      <c r="U97" s="703"/>
      <c r="V97" s="648"/>
      <c r="W97" s="648"/>
      <c r="X97" s="648"/>
      <c r="Y97" s="648"/>
      <c r="Z97" s="648"/>
      <c r="AA97" s="648"/>
      <c r="AB97" s="648"/>
      <c r="AC97" s="648">
        <v>75</v>
      </c>
      <c r="AD97" s="521">
        <f>SUM(E97:AC97)</f>
        <v>75</v>
      </c>
      <c r="AE97" s="511">
        <f>AD97*D97</f>
        <v>2250</v>
      </c>
      <c r="AF97" s="475" t="str">
        <f>IF(AD97&lt;0,"buy","sell")</f>
        <v>sell</v>
      </c>
    </row>
    <row r="98" spans="1:32" s="339" customFormat="1" ht="14.25" customHeight="1" x14ac:dyDescent="0.2">
      <c r="A98" s="556" t="s">
        <v>226</v>
      </c>
      <c r="B98" s="507" t="s">
        <v>365</v>
      </c>
      <c r="C98" s="507" t="s">
        <v>280</v>
      </c>
      <c r="D98" s="676">
        <v>35</v>
      </c>
      <c r="E98" s="677"/>
      <c r="F98" s="647"/>
      <c r="G98" s="648"/>
      <c r="H98" s="648"/>
      <c r="I98" s="648"/>
      <c r="J98" s="648"/>
      <c r="K98" s="648"/>
      <c r="L98" s="648"/>
      <c r="M98" s="648">
        <v>50</v>
      </c>
      <c r="N98" s="648"/>
      <c r="O98" s="648"/>
      <c r="P98" s="648"/>
      <c r="Q98" s="648"/>
      <c r="R98" s="648"/>
      <c r="S98" s="648"/>
      <c r="T98" s="648"/>
      <c r="U98" s="648"/>
      <c r="V98" s="648"/>
      <c r="W98" s="703"/>
      <c r="X98" s="648"/>
      <c r="Y98" s="648"/>
      <c r="Z98" s="648"/>
      <c r="AA98" s="648"/>
      <c r="AB98" s="648"/>
      <c r="AC98" s="648"/>
      <c r="AD98" s="521">
        <f t="shared" si="10"/>
        <v>50</v>
      </c>
      <c r="AE98" s="511">
        <f t="shared" si="12"/>
        <v>1750</v>
      </c>
      <c r="AF98" s="475" t="str">
        <f t="shared" si="13"/>
        <v>sell</v>
      </c>
    </row>
    <row r="99" spans="1:32" s="339" customFormat="1" ht="14.25" customHeight="1" x14ac:dyDescent="0.2">
      <c r="A99" s="556" t="s">
        <v>226</v>
      </c>
      <c r="B99" s="507" t="s">
        <v>365</v>
      </c>
      <c r="C99" s="507" t="s">
        <v>280</v>
      </c>
      <c r="D99" s="676">
        <v>60</v>
      </c>
      <c r="E99" s="677"/>
      <c r="F99" s="647"/>
      <c r="G99" s="648"/>
      <c r="H99" s="648"/>
      <c r="I99" s="648"/>
      <c r="J99" s="648"/>
      <c r="K99" s="648"/>
      <c r="L99" s="648"/>
      <c r="M99" s="648"/>
      <c r="N99" s="648">
        <v>70</v>
      </c>
      <c r="O99" s="648"/>
      <c r="P99" s="648"/>
      <c r="Q99" s="648"/>
      <c r="R99" s="648"/>
      <c r="S99" s="648"/>
      <c r="T99" s="648"/>
      <c r="U99" s="648"/>
      <c r="V99" s="648"/>
      <c r="W99" s="703"/>
      <c r="X99" s="648"/>
      <c r="Y99" s="648"/>
      <c r="Z99" s="648"/>
      <c r="AA99" s="648"/>
      <c r="AB99" s="648"/>
      <c r="AC99" s="648"/>
      <c r="AD99" s="521">
        <f t="shared" si="10"/>
        <v>70</v>
      </c>
      <c r="AE99" s="511">
        <f t="shared" si="12"/>
        <v>4200</v>
      </c>
      <c r="AF99" s="475" t="str">
        <f t="shared" si="13"/>
        <v>sell</v>
      </c>
    </row>
    <row r="100" spans="1:32" s="339" customFormat="1" ht="14.25" customHeight="1" x14ac:dyDescent="0.2">
      <c r="A100" s="556" t="s">
        <v>226</v>
      </c>
      <c r="B100" s="507" t="s">
        <v>365</v>
      </c>
      <c r="C100" s="507" t="s">
        <v>280</v>
      </c>
      <c r="D100" s="676">
        <v>95</v>
      </c>
      <c r="E100" s="677"/>
      <c r="F100" s="647"/>
      <c r="G100" s="648"/>
      <c r="H100" s="648"/>
      <c r="I100" s="648"/>
      <c r="J100" s="648"/>
      <c r="K100" s="648"/>
      <c r="L100" s="648"/>
      <c r="M100" s="648"/>
      <c r="N100" s="648"/>
      <c r="O100" s="648">
        <v>70</v>
      </c>
      <c r="P100" s="648"/>
      <c r="Q100" s="648"/>
      <c r="R100" s="648"/>
      <c r="S100" s="648"/>
      <c r="T100" s="648"/>
      <c r="U100" s="648"/>
      <c r="V100" s="648"/>
      <c r="W100" s="703"/>
      <c r="X100" s="648"/>
      <c r="Y100" s="648"/>
      <c r="Z100" s="648"/>
      <c r="AA100" s="648"/>
      <c r="AB100" s="648"/>
      <c r="AC100" s="648"/>
      <c r="AD100" s="570">
        <f t="shared" si="10"/>
        <v>70</v>
      </c>
      <c r="AE100" s="511">
        <f t="shared" si="12"/>
        <v>6650</v>
      </c>
      <c r="AF100" s="475" t="str">
        <f t="shared" si="13"/>
        <v>sell</v>
      </c>
    </row>
    <row r="101" spans="1:32" s="339" customFormat="1" ht="14.25" customHeight="1" x14ac:dyDescent="0.2">
      <c r="A101" s="556" t="s">
        <v>226</v>
      </c>
      <c r="B101" s="507" t="s">
        <v>365</v>
      </c>
      <c r="C101" s="507" t="s">
        <v>280</v>
      </c>
      <c r="D101" s="676">
        <v>130</v>
      </c>
      <c r="E101" s="677"/>
      <c r="F101" s="647"/>
      <c r="G101" s="648"/>
      <c r="H101" s="648"/>
      <c r="I101" s="648"/>
      <c r="J101" s="648"/>
      <c r="K101" s="648"/>
      <c r="L101" s="703"/>
      <c r="M101" s="648"/>
      <c r="N101" s="648"/>
      <c r="O101" s="648"/>
      <c r="P101" s="648">
        <v>70</v>
      </c>
      <c r="Q101" s="648"/>
      <c r="R101" s="648"/>
      <c r="S101" s="648"/>
      <c r="T101" s="648"/>
      <c r="U101" s="648"/>
      <c r="V101" s="648"/>
      <c r="W101" s="703"/>
      <c r="X101" s="648"/>
      <c r="Y101" s="648"/>
      <c r="Z101" s="648"/>
      <c r="AA101" s="648"/>
      <c r="AB101" s="648"/>
      <c r="AC101" s="648"/>
      <c r="AD101" s="570">
        <f t="shared" si="10"/>
        <v>70</v>
      </c>
      <c r="AE101" s="511">
        <f t="shared" si="12"/>
        <v>9100</v>
      </c>
      <c r="AF101" s="475" t="str">
        <f t="shared" si="13"/>
        <v>sell</v>
      </c>
    </row>
    <row r="102" spans="1:32" s="339" customFormat="1" ht="14.25" customHeight="1" x14ac:dyDescent="0.2">
      <c r="A102" s="556" t="s">
        <v>226</v>
      </c>
      <c r="B102" s="507" t="s">
        <v>365</v>
      </c>
      <c r="C102" s="507" t="s">
        <v>280</v>
      </c>
      <c r="D102" s="676">
        <v>150</v>
      </c>
      <c r="E102" s="677"/>
      <c r="F102" s="647"/>
      <c r="G102" s="648"/>
      <c r="H102" s="648"/>
      <c r="I102" s="648"/>
      <c r="J102" s="648"/>
      <c r="K102" s="648"/>
      <c r="L102" s="703"/>
      <c r="M102" s="648"/>
      <c r="N102" s="648"/>
      <c r="O102" s="648"/>
      <c r="P102" s="648"/>
      <c r="Q102" s="648">
        <v>70</v>
      </c>
      <c r="R102" s="648"/>
      <c r="S102" s="648"/>
      <c r="T102" s="648"/>
      <c r="U102" s="648"/>
      <c r="V102" s="648"/>
      <c r="W102" s="703"/>
      <c r="X102" s="648"/>
      <c r="Y102" s="648"/>
      <c r="Z102" s="648"/>
      <c r="AA102" s="648"/>
      <c r="AB102" s="648"/>
      <c r="AC102" s="648"/>
      <c r="AD102" s="570">
        <f t="shared" si="10"/>
        <v>70</v>
      </c>
      <c r="AE102" s="511">
        <f t="shared" si="12"/>
        <v>10500</v>
      </c>
      <c r="AF102" s="475" t="str">
        <f t="shared" si="13"/>
        <v>sell</v>
      </c>
    </row>
    <row r="103" spans="1:32" s="339" customFormat="1" ht="14.25" customHeight="1" x14ac:dyDescent="0.2">
      <c r="A103" s="556" t="s">
        <v>226</v>
      </c>
      <c r="B103" s="507" t="s">
        <v>365</v>
      </c>
      <c r="C103" s="507" t="s">
        <v>280</v>
      </c>
      <c r="D103" s="676">
        <v>165</v>
      </c>
      <c r="E103" s="677"/>
      <c r="F103" s="647"/>
      <c r="G103" s="648"/>
      <c r="H103" s="648"/>
      <c r="I103" s="648"/>
      <c r="J103" s="648"/>
      <c r="K103" s="648"/>
      <c r="L103" s="703"/>
      <c r="M103" s="648"/>
      <c r="N103" s="648"/>
      <c r="O103" s="648"/>
      <c r="P103" s="648"/>
      <c r="Q103" s="648"/>
      <c r="R103" s="648">
        <v>70</v>
      </c>
      <c r="S103" s="648"/>
      <c r="T103" s="648"/>
      <c r="U103" s="648"/>
      <c r="V103" s="648"/>
      <c r="W103" s="703"/>
      <c r="X103" s="648"/>
      <c r="Y103" s="648"/>
      <c r="Z103" s="648"/>
      <c r="AA103" s="648"/>
      <c r="AB103" s="648"/>
      <c r="AC103" s="648"/>
      <c r="AD103" s="570">
        <f t="shared" si="10"/>
        <v>70</v>
      </c>
      <c r="AE103" s="511">
        <f t="shared" si="12"/>
        <v>11550</v>
      </c>
      <c r="AF103" s="475" t="str">
        <f t="shared" si="13"/>
        <v>sell</v>
      </c>
    </row>
    <row r="104" spans="1:32" s="339" customFormat="1" ht="14.25" customHeight="1" x14ac:dyDescent="0.2">
      <c r="A104" s="556" t="s">
        <v>226</v>
      </c>
      <c r="B104" s="507" t="s">
        <v>365</v>
      </c>
      <c r="C104" s="507" t="s">
        <v>280</v>
      </c>
      <c r="D104" s="676">
        <v>250</v>
      </c>
      <c r="E104" s="677"/>
      <c r="F104" s="647"/>
      <c r="G104" s="648"/>
      <c r="H104" s="648"/>
      <c r="I104" s="648"/>
      <c r="J104" s="648"/>
      <c r="K104" s="648"/>
      <c r="L104" s="703"/>
      <c r="M104" s="648"/>
      <c r="N104" s="648"/>
      <c r="O104" s="648"/>
      <c r="P104" s="648"/>
      <c r="Q104" s="648"/>
      <c r="R104" s="648"/>
      <c r="S104" s="648">
        <v>70</v>
      </c>
      <c r="T104" s="648"/>
      <c r="U104" s="648"/>
      <c r="V104" s="648"/>
      <c r="W104" s="703"/>
      <c r="X104" s="648"/>
      <c r="Y104" s="648"/>
      <c r="Z104" s="648"/>
      <c r="AA104" s="648"/>
      <c r="AB104" s="648"/>
      <c r="AC104" s="648"/>
      <c r="AD104" s="570">
        <f t="shared" si="10"/>
        <v>70</v>
      </c>
      <c r="AE104" s="511">
        <f t="shared" si="12"/>
        <v>17500</v>
      </c>
      <c r="AF104" s="475" t="str">
        <f t="shared" si="13"/>
        <v>sell</v>
      </c>
    </row>
    <row r="105" spans="1:32" s="339" customFormat="1" ht="14.25" customHeight="1" x14ac:dyDescent="0.2">
      <c r="A105" s="556" t="s">
        <v>226</v>
      </c>
      <c r="B105" s="507" t="s">
        <v>365</v>
      </c>
      <c r="C105" s="507" t="s">
        <v>280</v>
      </c>
      <c r="D105" s="676">
        <v>275</v>
      </c>
      <c r="E105" s="677"/>
      <c r="F105" s="647"/>
      <c r="G105" s="648"/>
      <c r="H105" s="648"/>
      <c r="I105" s="648"/>
      <c r="J105" s="648"/>
      <c r="K105" s="648"/>
      <c r="L105" s="703"/>
      <c r="M105" s="648"/>
      <c r="N105" s="648"/>
      <c r="O105" s="648"/>
      <c r="P105" s="648"/>
      <c r="Q105" s="648"/>
      <c r="R105" s="648"/>
      <c r="S105" s="648"/>
      <c r="T105" s="648">
        <v>50</v>
      </c>
      <c r="U105" s="648"/>
      <c r="V105" s="648"/>
      <c r="W105" s="703"/>
      <c r="X105" s="648"/>
      <c r="Y105" s="648"/>
      <c r="Z105" s="648"/>
      <c r="AA105" s="648"/>
      <c r="AB105" s="648"/>
      <c r="AC105" s="648"/>
      <c r="AD105" s="570">
        <f t="shared" si="10"/>
        <v>50</v>
      </c>
      <c r="AE105" s="511">
        <f t="shared" si="12"/>
        <v>13750</v>
      </c>
      <c r="AF105" s="475" t="str">
        <f t="shared" si="13"/>
        <v>sell</v>
      </c>
    </row>
    <row r="106" spans="1:32" s="339" customFormat="1" ht="14.25" customHeight="1" x14ac:dyDescent="0.2">
      <c r="A106" s="556" t="s">
        <v>226</v>
      </c>
      <c r="B106" s="507" t="s">
        <v>365</v>
      </c>
      <c r="C106" s="507" t="s">
        <v>280</v>
      </c>
      <c r="D106" s="676">
        <v>275</v>
      </c>
      <c r="E106" s="677"/>
      <c r="F106" s="647"/>
      <c r="G106" s="648"/>
      <c r="H106" s="648"/>
      <c r="I106" s="648"/>
      <c r="J106" s="648"/>
      <c r="K106" s="648"/>
      <c r="L106" s="703"/>
      <c r="M106" s="648"/>
      <c r="N106" s="648"/>
      <c r="O106" s="648"/>
      <c r="P106" s="648"/>
      <c r="Q106" s="648"/>
      <c r="R106" s="648"/>
      <c r="S106" s="648"/>
      <c r="T106" s="648"/>
      <c r="U106" s="648">
        <v>60</v>
      </c>
      <c r="V106" s="648">
        <v>92</v>
      </c>
      <c r="W106" s="703"/>
      <c r="X106" s="648"/>
      <c r="Y106" s="648"/>
      <c r="Z106" s="648"/>
      <c r="AA106" s="648"/>
      <c r="AB106" s="648"/>
      <c r="AC106" s="648"/>
      <c r="AD106" s="570">
        <f t="shared" si="10"/>
        <v>152</v>
      </c>
      <c r="AE106" s="511">
        <f t="shared" si="12"/>
        <v>41800</v>
      </c>
      <c r="AF106" s="475" t="str">
        <f t="shared" si="13"/>
        <v>sell</v>
      </c>
    </row>
    <row r="107" spans="1:32" s="339" customFormat="1" ht="14.25" customHeight="1" x14ac:dyDescent="0.2">
      <c r="A107" s="556" t="s">
        <v>226</v>
      </c>
      <c r="B107" s="507" t="s">
        <v>382</v>
      </c>
      <c r="C107" s="507" t="s">
        <v>280</v>
      </c>
      <c r="D107" s="676">
        <v>275</v>
      </c>
      <c r="E107" s="677"/>
      <c r="F107" s="647"/>
      <c r="G107" s="648"/>
      <c r="H107" s="648"/>
      <c r="I107" s="648"/>
      <c r="J107" s="648"/>
      <c r="K107" s="648"/>
      <c r="L107" s="703"/>
      <c r="M107" s="703"/>
      <c r="N107" s="703"/>
      <c r="O107" s="648"/>
      <c r="P107" s="703"/>
      <c r="Q107" s="648"/>
      <c r="R107" s="648"/>
      <c r="S107" s="648"/>
      <c r="T107" s="648"/>
      <c r="U107" s="648"/>
      <c r="V107" s="648">
        <v>8</v>
      </c>
      <c r="W107" s="648"/>
      <c r="X107" s="648"/>
      <c r="Y107" s="648"/>
      <c r="Z107" s="648"/>
      <c r="AA107" s="648"/>
      <c r="AB107" s="648"/>
      <c r="AC107" s="648"/>
      <c r="AD107" s="570">
        <f t="shared" si="10"/>
        <v>8</v>
      </c>
      <c r="AE107" s="511">
        <f t="shared" si="12"/>
        <v>2200</v>
      </c>
      <c r="AF107" s="475" t="str">
        <f t="shared" si="13"/>
        <v>sell</v>
      </c>
    </row>
    <row r="108" spans="1:32" s="339" customFormat="1" ht="14.25" customHeight="1" x14ac:dyDescent="0.2">
      <c r="A108" s="556" t="s">
        <v>226</v>
      </c>
      <c r="B108" s="507" t="s">
        <v>365</v>
      </c>
      <c r="C108" s="507" t="s">
        <v>280</v>
      </c>
      <c r="D108" s="676">
        <v>200</v>
      </c>
      <c r="E108" s="677"/>
      <c r="F108" s="647"/>
      <c r="G108" s="648"/>
      <c r="H108" s="648"/>
      <c r="I108" s="648"/>
      <c r="J108" s="648"/>
      <c r="K108" s="648"/>
      <c r="L108" s="703"/>
      <c r="M108" s="703"/>
      <c r="N108" s="703"/>
      <c r="O108" s="648"/>
      <c r="P108" s="703"/>
      <c r="Q108" s="648"/>
      <c r="R108" s="648"/>
      <c r="S108" s="648"/>
      <c r="T108" s="648"/>
      <c r="U108" s="648"/>
      <c r="V108" s="648"/>
      <c r="W108" s="648">
        <v>140</v>
      </c>
      <c r="X108" s="648">
        <v>50</v>
      </c>
      <c r="Y108" s="648"/>
      <c r="Z108" s="648"/>
      <c r="AA108" s="648"/>
      <c r="AB108" s="648"/>
      <c r="AC108" s="648"/>
      <c r="AD108" s="570">
        <f t="shared" si="10"/>
        <v>190</v>
      </c>
      <c r="AE108" s="511">
        <f t="shared" si="12"/>
        <v>38000</v>
      </c>
      <c r="AF108" s="475" t="str">
        <f t="shared" si="13"/>
        <v>sell</v>
      </c>
    </row>
    <row r="109" spans="1:32" s="339" customFormat="1" ht="14.25" customHeight="1" x14ac:dyDescent="0.2">
      <c r="A109" s="556" t="s">
        <v>226</v>
      </c>
      <c r="B109" s="507" t="s">
        <v>365</v>
      </c>
      <c r="C109" s="507" t="s">
        <v>280</v>
      </c>
      <c r="D109" s="676">
        <v>115</v>
      </c>
      <c r="E109" s="677"/>
      <c r="F109" s="647"/>
      <c r="G109" s="648"/>
      <c r="H109" s="648"/>
      <c r="I109" s="648"/>
      <c r="J109" s="648"/>
      <c r="K109" s="648"/>
      <c r="L109" s="703"/>
      <c r="M109" s="703"/>
      <c r="N109" s="703"/>
      <c r="O109" s="648"/>
      <c r="P109" s="703"/>
      <c r="Q109" s="648"/>
      <c r="R109" s="648"/>
      <c r="S109" s="648"/>
      <c r="T109" s="648"/>
      <c r="U109" s="648"/>
      <c r="V109" s="648"/>
      <c r="W109" s="648"/>
      <c r="X109" s="648"/>
      <c r="Y109" s="648"/>
      <c r="Z109" s="648">
        <v>50</v>
      </c>
      <c r="AA109" s="648"/>
      <c r="AB109" s="648"/>
      <c r="AC109" s="648"/>
      <c r="AD109" s="570">
        <f>SUM(E109:AC109)</f>
        <v>50</v>
      </c>
      <c r="AE109" s="511">
        <f>AD109*D109</f>
        <v>5750</v>
      </c>
      <c r="AF109" s="475" t="str">
        <f>IF(AD109&lt;0,"buy","sell")</f>
        <v>sell</v>
      </c>
    </row>
    <row r="110" spans="1:32" s="339" customFormat="1" ht="14.25" customHeight="1" x14ac:dyDescent="0.2">
      <c r="A110" s="556" t="s">
        <v>226</v>
      </c>
      <c r="B110" s="507" t="s">
        <v>365</v>
      </c>
      <c r="C110" s="507" t="s">
        <v>280</v>
      </c>
      <c r="D110" s="676">
        <v>90</v>
      </c>
      <c r="E110" s="677"/>
      <c r="F110" s="647"/>
      <c r="G110" s="648"/>
      <c r="H110" s="648"/>
      <c r="I110" s="648"/>
      <c r="J110" s="648"/>
      <c r="K110" s="648"/>
      <c r="L110" s="703"/>
      <c r="M110" s="703"/>
      <c r="N110" s="703"/>
      <c r="O110" s="648"/>
      <c r="P110" s="703"/>
      <c r="Q110" s="648"/>
      <c r="R110" s="648"/>
      <c r="S110" s="648"/>
      <c r="T110" s="648"/>
      <c r="U110" s="648"/>
      <c r="V110" s="648"/>
      <c r="W110" s="648"/>
      <c r="X110" s="648"/>
      <c r="Y110" s="648"/>
      <c r="Z110" s="648"/>
      <c r="AA110" s="648">
        <v>50</v>
      </c>
      <c r="AB110" s="648"/>
      <c r="AC110" s="648"/>
      <c r="AD110" s="570">
        <f>SUM(E110:AC110)</f>
        <v>50</v>
      </c>
      <c r="AE110" s="511">
        <f>AD110*D110</f>
        <v>4500</v>
      </c>
      <c r="AF110" s="475" t="str">
        <f>IF(AD110&lt;0,"buy","sell")</f>
        <v>sell</v>
      </c>
    </row>
    <row r="111" spans="1:32" s="339" customFormat="1" ht="14.25" customHeight="1" x14ac:dyDescent="0.2">
      <c r="A111" s="556" t="s">
        <v>226</v>
      </c>
      <c r="B111" s="507" t="s">
        <v>365</v>
      </c>
      <c r="C111" s="507" t="s">
        <v>280</v>
      </c>
      <c r="D111" s="676">
        <v>40</v>
      </c>
      <c r="E111" s="677"/>
      <c r="F111" s="647"/>
      <c r="G111" s="648"/>
      <c r="H111" s="648"/>
      <c r="I111" s="648"/>
      <c r="J111" s="648"/>
      <c r="K111" s="648"/>
      <c r="L111" s="703"/>
      <c r="M111" s="703"/>
      <c r="N111" s="703"/>
      <c r="O111" s="648"/>
      <c r="P111" s="703"/>
      <c r="Q111" s="648"/>
      <c r="R111" s="648"/>
      <c r="S111" s="648"/>
      <c r="T111" s="648"/>
      <c r="U111" s="648"/>
      <c r="V111" s="648"/>
      <c r="W111" s="648"/>
      <c r="X111" s="648"/>
      <c r="Y111" s="648"/>
      <c r="Z111" s="648"/>
      <c r="AA111" s="648"/>
      <c r="AB111" s="648"/>
      <c r="AC111" s="648">
        <v>15</v>
      </c>
      <c r="AD111" s="570">
        <f>SUM(E111:AC111)</f>
        <v>15</v>
      </c>
      <c r="AE111" s="511">
        <f>AD111*D111</f>
        <v>600</v>
      </c>
      <c r="AF111" s="475" t="str">
        <f>IF(AD111&lt;0,"buy","sell")</f>
        <v>sell</v>
      </c>
    </row>
    <row r="112" spans="1:32" s="339" customFormat="1" ht="14.25" customHeight="1" x14ac:dyDescent="0.2">
      <c r="A112" s="556" t="s">
        <v>394</v>
      </c>
      <c r="B112" s="507" t="s">
        <v>395</v>
      </c>
      <c r="C112" s="507" t="s">
        <v>280</v>
      </c>
      <c r="D112" s="676">
        <v>190</v>
      </c>
      <c r="E112" s="677"/>
      <c r="F112" s="647"/>
      <c r="G112" s="648"/>
      <c r="H112" s="648"/>
      <c r="I112" s="648"/>
      <c r="J112" s="648"/>
      <c r="K112" s="648"/>
      <c r="L112" s="703"/>
      <c r="M112" s="703"/>
      <c r="N112" s="703"/>
      <c r="O112" s="648">
        <v>10</v>
      </c>
      <c r="P112" s="648">
        <v>10</v>
      </c>
      <c r="Q112" s="648">
        <v>10</v>
      </c>
      <c r="R112" s="648">
        <v>10</v>
      </c>
      <c r="S112" s="648">
        <v>10</v>
      </c>
      <c r="T112" s="648">
        <v>10</v>
      </c>
      <c r="U112" s="648">
        <v>10</v>
      </c>
      <c r="V112" s="648">
        <v>10</v>
      </c>
      <c r="W112" s="648">
        <v>10</v>
      </c>
      <c r="X112" s="648">
        <v>10</v>
      </c>
      <c r="Y112" s="648">
        <v>10</v>
      </c>
      <c r="Z112" s="648">
        <v>10</v>
      </c>
      <c r="AA112" s="648">
        <v>10</v>
      </c>
      <c r="AB112" s="648"/>
      <c r="AC112" s="648"/>
      <c r="AD112" s="570">
        <f t="shared" si="10"/>
        <v>130</v>
      </c>
      <c r="AE112" s="511">
        <f t="shared" si="12"/>
        <v>24700</v>
      </c>
      <c r="AF112" s="475" t="str">
        <f t="shared" si="13"/>
        <v>sell</v>
      </c>
    </row>
    <row r="113" spans="1:32" s="339" customFormat="1" ht="14.25" customHeight="1" x14ac:dyDescent="0.2">
      <c r="A113" s="556" t="s">
        <v>378</v>
      </c>
      <c r="B113" s="507" t="s">
        <v>365</v>
      </c>
      <c r="C113" s="507" t="s">
        <v>280</v>
      </c>
      <c r="D113" s="676">
        <v>170</v>
      </c>
      <c r="E113" s="677"/>
      <c r="F113" s="647"/>
      <c r="G113" s="648"/>
      <c r="H113" s="648"/>
      <c r="I113" s="648"/>
      <c r="J113" s="648"/>
      <c r="K113" s="648"/>
      <c r="L113" s="703"/>
      <c r="M113" s="703"/>
      <c r="N113" s="703"/>
      <c r="O113" s="648"/>
      <c r="P113" s="703"/>
      <c r="Q113" s="703"/>
      <c r="R113" s="648">
        <v>30</v>
      </c>
      <c r="S113" s="648"/>
      <c r="T113" s="648"/>
      <c r="U113" s="648"/>
      <c r="V113" s="648"/>
      <c r="W113" s="648"/>
      <c r="X113" s="648"/>
      <c r="Y113" s="648"/>
      <c r="Z113" s="648"/>
      <c r="AA113" s="648"/>
      <c r="AB113" s="648"/>
      <c r="AC113" s="648"/>
      <c r="AD113" s="570">
        <f t="shared" si="10"/>
        <v>30</v>
      </c>
      <c r="AE113" s="511">
        <f t="shared" si="12"/>
        <v>5100</v>
      </c>
      <c r="AF113" s="475" t="str">
        <f t="shared" si="13"/>
        <v>sell</v>
      </c>
    </row>
    <row r="114" spans="1:32" s="339" customFormat="1" ht="14.25" customHeight="1" x14ac:dyDescent="0.2">
      <c r="A114" s="556" t="s">
        <v>379</v>
      </c>
      <c r="B114" s="507" t="s">
        <v>365</v>
      </c>
      <c r="C114" s="507" t="s">
        <v>152</v>
      </c>
      <c r="D114" s="676">
        <v>250</v>
      </c>
      <c r="E114" s="677"/>
      <c r="F114" s="647"/>
      <c r="G114" s="648"/>
      <c r="H114" s="648"/>
      <c r="I114" s="648"/>
      <c r="J114" s="648"/>
      <c r="K114" s="648"/>
      <c r="L114" s="703"/>
      <c r="M114" s="703"/>
      <c r="N114" s="703"/>
      <c r="O114" s="648"/>
      <c r="P114" s="703"/>
      <c r="Q114" s="703"/>
      <c r="R114" s="648"/>
      <c r="S114" s="648">
        <v>26</v>
      </c>
      <c r="T114" s="648"/>
      <c r="U114" s="648"/>
      <c r="V114" s="648"/>
      <c r="W114" s="648"/>
      <c r="X114" s="648"/>
      <c r="Y114" s="648"/>
      <c r="Z114" s="648"/>
      <c r="AA114" s="648"/>
      <c r="AB114" s="648"/>
      <c r="AC114" s="648"/>
      <c r="AD114" s="570">
        <f t="shared" si="10"/>
        <v>26</v>
      </c>
      <c r="AE114" s="511">
        <f t="shared" si="12"/>
        <v>6500</v>
      </c>
      <c r="AF114" s="475" t="str">
        <f t="shared" si="13"/>
        <v>sell</v>
      </c>
    </row>
    <row r="115" spans="1:32" s="339" customFormat="1" ht="14.25" customHeight="1" x14ac:dyDescent="0.2">
      <c r="A115" s="556" t="s">
        <v>379</v>
      </c>
      <c r="B115" s="507" t="s">
        <v>365</v>
      </c>
      <c r="C115" s="507" t="s">
        <v>152</v>
      </c>
      <c r="D115" s="676">
        <v>275</v>
      </c>
      <c r="E115" s="677"/>
      <c r="F115" s="647"/>
      <c r="G115" s="648"/>
      <c r="H115" s="648"/>
      <c r="I115" s="648"/>
      <c r="J115" s="648"/>
      <c r="K115" s="648"/>
      <c r="L115" s="703"/>
      <c r="M115" s="703"/>
      <c r="N115" s="703"/>
      <c r="O115" s="648"/>
      <c r="P115" s="703"/>
      <c r="Q115" s="703"/>
      <c r="R115" s="648"/>
      <c r="S115" s="648"/>
      <c r="T115" s="648">
        <v>28</v>
      </c>
      <c r="U115" s="648"/>
      <c r="V115" s="648"/>
      <c r="W115" s="648"/>
      <c r="X115" s="648"/>
      <c r="Y115" s="648"/>
      <c r="Z115" s="648"/>
      <c r="AA115" s="648"/>
      <c r="AB115" s="648"/>
      <c r="AC115" s="648"/>
      <c r="AD115" s="570">
        <f t="shared" si="10"/>
        <v>28</v>
      </c>
      <c r="AE115" s="511">
        <f t="shared" si="12"/>
        <v>7700</v>
      </c>
      <c r="AF115" s="475" t="str">
        <f t="shared" si="13"/>
        <v>sell</v>
      </c>
    </row>
    <row r="116" spans="1:32" s="339" customFormat="1" ht="14.25" customHeight="1" x14ac:dyDescent="0.2">
      <c r="A116" s="556" t="s">
        <v>379</v>
      </c>
      <c r="B116" s="507" t="s">
        <v>365</v>
      </c>
      <c r="C116" s="507" t="s">
        <v>152</v>
      </c>
      <c r="D116" s="676">
        <v>275</v>
      </c>
      <c r="E116" s="677"/>
      <c r="F116" s="647"/>
      <c r="G116" s="648"/>
      <c r="H116" s="648"/>
      <c r="I116" s="648"/>
      <c r="J116" s="648"/>
      <c r="K116" s="648"/>
      <c r="L116" s="703"/>
      <c r="M116" s="703"/>
      <c r="N116" s="703"/>
      <c r="O116" s="648"/>
      <c r="P116" s="703"/>
      <c r="Q116" s="703"/>
      <c r="R116" s="648"/>
      <c r="S116" s="648"/>
      <c r="T116" s="648"/>
      <c r="U116" s="648">
        <v>19</v>
      </c>
      <c r="V116" s="648"/>
      <c r="W116" s="648">
        <v>16</v>
      </c>
      <c r="X116" s="648">
        <v>14</v>
      </c>
      <c r="Y116" s="648"/>
      <c r="Z116" s="648"/>
      <c r="AA116" s="648"/>
      <c r="AB116" s="648"/>
      <c r="AC116" s="648"/>
      <c r="AD116" s="570">
        <f t="shared" si="10"/>
        <v>49</v>
      </c>
      <c r="AE116" s="511">
        <f t="shared" si="12"/>
        <v>13475</v>
      </c>
      <c r="AF116" s="475" t="str">
        <f t="shared" si="13"/>
        <v>sell</v>
      </c>
    </row>
    <row r="117" spans="1:32" s="339" customFormat="1" ht="14.25" customHeight="1" x14ac:dyDescent="0.2">
      <c r="A117" s="556" t="s">
        <v>379</v>
      </c>
      <c r="B117" s="507" t="s">
        <v>365</v>
      </c>
      <c r="C117" s="507" t="s">
        <v>280</v>
      </c>
      <c r="D117" s="676">
        <v>100</v>
      </c>
      <c r="E117" s="677"/>
      <c r="F117" s="647"/>
      <c r="G117" s="648"/>
      <c r="H117" s="648"/>
      <c r="I117" s="648"/>
      <c r="J117" s="648"/>
      <c r="K117" s="648"/>
      <c r="L117" s="703"/>
      <c r="M117" s="703"/>
      <c r="N117" s="703"/>
      <c r="O117" s="648"/>
      <c r="P117" s="703"/>
      <c r="Q117" s="703"/>
      <c r="R117" s="648"/>
      <c r="S117" s="648"/>
      <c r="T117" s="648"/>
      <c r="U117" s="648"/>
      <c r="V117" s="648"/>
      <c r="W117" s="648"/>
      <c r="X117" s="648"/>
      <c r="Y117" s="648"/>
      <c r="Z117" s="648"/>
      <c r="AA117" s="648">
        <v>9</v>
      </c>
      <c r="AB117" s="648"/>
      <c r="AC117" s="648"/>
      <c r="AD117" s="570">
        <f>SUM(E117:AC117)</f>
        <v>9</v>
      </c>
      <c r="AE117" s="511">
        <f>AD117*D117</f>
        <v>900</v>
      </c>
      <c r="AF117" s="475" t="str">
        <f>IF(AD117&lt;0,"buy","sell")</f>
        <v>sell</v>
      </c>
    </row>
    <row r="118" spans="1:32" s="339" customFormat="1" ht="14.25" customHeight="1" x14ac:dyDescent="0.2">
      <c r="A118" s="556" t="s">
        <v>380</v>
      </c>
      <c r="B118" s="507" t="s">
        <v>365</v>
      </c>
      <c r="C118" s="507" t="s">
        <v>280</v>
      </c>
      <c r="D118" s="676">
        <v>250</v>
      </c>
      <c r="E118" s="677"/>
      <c r="F118" s="647"/>
      <c r="G118" s="648"/>
      <c r="H118" s="648"/>
      <c r="I118" s="648"/>
      <c r="J118" s="648"/>
      <c r="K118" s="648"/>
      <c r="L118" s="703"/>
      <c r="M118" s="703"/>
      <c r="N118" s="703"/>
      <c r="O118" s="648"/>
      <c r="P118" s="703"/>
      <c r="Q118" s="703"/>
      <c r="R118" s="648"/>
      <c r="S118" s="648">
        <v>10</v>
      </c>
      <c r="T118" s="703"/>
      <c r="U118" s="703"/>
      <c r="V118" s="648"/>
      <c r="W118" s="648"/>
      <c r="X118" s="648"/>
      <c r="Y118" s="648"/>
      <c r="Z118" s="648"/>
      <c r="AA118" s="648"/>
      <c r="AB118" s="648"/>
      <c r="AC118" s="648"/>
      <c r="AD118" s="570">
        <f t="shared" si="10"/>
        <v>10</v>
      </c>
      <c r="AE118" s="511">
        <f t="shared" si="12"/>
        <v>2500</v>
      </c>
      <c r="AF118" s="475" t="str">
        <f t="shared" si="13"/>
        <v>sell</v>
      </c>
    </row>
    <row r="119" spans="1:32" s="339" customFormat="1" x14ac:dyDescent="0.2">
      <c r="A119" s="556" t="s">
        <v>15</v>
      </c>
      <c r="B119" s="507"/>
      <c r="C119" s="507"/>
      <c r="D119" s="676"/>
      <c r="E119" s="677"/>
      <c r="F119" s="647"/>
      <c r="G119" s="648"/>
      <c r="H119" s="648"/>
      <c r="I119" s="648"/>
      <c r="J119" s="648"/>
      <c r="K119" s="648"/>
      <c r="L119" s="648"/>
      <c r="M119" s="648"/>
      <c r="N119" s="648"/>
      <c r="O119" s="648"/>
      <c r="P119" s="648"/>
      <c r="Q119" s="648"/>
      <c r="R119" s="648"/>
      <c r="S119" s="648"/>
      <c r="T119" s="648"/>
      <c r="U119" s="648"/>
      <c r="V119" s="648"/>
      <c r="W119" s="648"/>
      <c r="X119" s="648"/>
      <c r="Y119" s="648"/>
      <c r="Z119" s="648"/>
      <c r="AA119" s="648"/>
      <c r="AB119" s="648"/>
      <c r="AC119" s="648"/>
      <c r="AD119" s="570">
        <f t="shared" si="10"/>
        <v>0</v>
      </c>
      <c r="AE119" s="511">
        <f t="shared" ref="AE119:AE127" si="14">AD119*D119</f>
        <v>0</v>
      </c>
      <c r="AF119" s="475" t="str">
        <f t="shared" ref="AF119:AF128" si="15">IF(AD119&lt;0,"buy","sell")</f>
        <v>sell</v>
      </c>
    </row>
    <row r="120" spans="1:32" s="339" customFormat="1" ht="12" customHeight="1" x14ac:dyDescent="0.2">
      <c r="A120" s="567"/>
      <c r="B120" s="568"/>
      <c r="C120" s="568"/>
      <c r="D120" s="673"/>
      <c r="E120" s="646"/>
      <c r="F120" s="602"/>
      <c r="G120" s="646"/>
      <c r="H120" s="602"/>
      <c r="I120" s="602"/>
      <c r="J120" s="602"/>
      <c r="K120" s="602"/>
      <c r="L120" s="602"/>
      <c r="M120" s="602"/>
      <c r="N120" s="602"/>
      <c r="O120" s="602"/>
      <c r="P120" s="602"/>
      <c r="Q120" s="602"/>
      <c r="R120" s="602"/>
      <c r="S120" s="602"/>
      <c r="T120" s="602"/>
      <c r="U120" s="602"/>
      <c r="V120" s="602"/>
      <c r="W120" s="602"/>
      <c r="X120" s="602"/>
      <c r="Y120" s="602"/>
      <c r="Z120" s="602"/>
      <c r="AA120" s="602"/>
      <c r="AB120" s="602"/>
      <c r="AC120" s="602"/>
      <c r="AD120" s="521">
        <f t="shared" si="4"/>
        <v>0</v>
      </c>
      <c r="AE120" s="511">
        <f t="shared" si="14"/>
        <v>0</v>
      </c>
      <c r="AF120" s="475" t="str">
        <f t="shared" si="15"/>
        <v>sell</v>
      </c>
    </row>
    <row r="121" spans="1:32" s="339" customFormat="1" ht="12" customHeight="1" x14ac:dyDescent="0.2">
      <c r="A121" s="567" t="s">
        <v>368</v>
      </c>
      <c r="B121" s="568" t="s">
        <v>241</v>
      </c>
      <c r="C121" s="568" t="s">
        <v>152</v>
      </c>
      <c r="D121" s="702">
        <v>300</v>
      </c>
      <c r="E121" s="646"/>
      <c r="F121" s="602"/>
      <c r="G121" s="646"/>
      <c r="H121" s="602"/>
      <c r="I121" s="602"/>
      <c r="J121" s="602"/>
      <c r="K121" s="602"/>
      <c r="L121" s="602">
        <v>-25</v>
      </c>
      <c r="M121" s="602">
        <v>-25</v>
      </c>
      <c r="N121" s="602">
        <v>-25</v>
      </c>
      <c r="O121" s="602">
        <v>-25</v>
      </c>
      <c r="P121" s="602">
        <v>-25</v>
      </c>
      <c r="Q121" s="602">
        <v>-25</v>
      </c>
      <c r="R121" s="602">
        <v>-25</v>
      </c>
      <c r="S121" s="602">
        <v>-25</v>
      </c>
      <c r="T121" s="602">
        <v>-25</v>
      </c>
      <c r="U121" s="602">
        <v>-25</v>
      </c>
      <c r="V121" s="602">
        <v>-25</v>
      </c>
      <c r="W121" s="602">
        <v>-25</v>
      </c>
      <c r="X121" s="602">
        <v>-25</v>
      </c>
      <c r="Y121" s="602">
        <v>-25</v>
      </c>
      <c r="Z121" s="602">
        <v>-25</v>
      </c>
      <c r="AA121" s="602">
        <v>-25</v>
      </c>
      <c r="AB121" s="602"/>
      <c r="AC121" s="602"/>
      <c r="AD121" s="521">
        <f t="shared" ref="AD121:AD127" si="16">SUM(E121:AC121)</f>
        <v>-400</v>
      </c>
      <c r="AE121" s="511">
        <f t="shared" si="14"/>
        <v>-120000</v>
      </c>
      <c r="AF121" s="475" t="str">
        <f t="shared" si="15"/>
        <v>buy</v>
      </c>
    </row>
    <row r="122" spans="1:32" s="339" customFormat="1" ht="12" customHeight="1" x14ac:dyDescent="0.2">
      <c r="A122" s="567" t="s">
        <v>368</v>
      </c>
      <c r="B122" s="568" t="s">
        <v>241</v>
      </c>
      <c r="C122" s="568" t="s">
        <v>152</v>
      </c>
      <c r="D122" s="702">
        <v>300</v>
      </c>
      <c r="E122" s="646"/>
      <c r="F122" s="602"/>
      <c r="G122" s="646"/>
      <c r="H122" s="602"/>
      <c r="I122" s="602"/>
      <c r="J122" s="602"/>
      <c r="K122" s="602"/>
      <c r="L122" s="602">
        <v>-15</v>
      </c>
      <c r="M122" s="602">
        <v>-15</v>
      </c>
      <c r="N122" s="602">
        <v>-15</v>
      </c>
      <c r="O122" s="602">
        <v>-15</v>
      </c>
      <c r="P122" s="602">
        <v>-15</v>
      </c>
      <c r="Q122" s="602">
        <v>-15</v>
      </c>
      <c r="R122" s="602">
        <v>-15</v>
      </c>
      <c r="S122" s="602">
        <v>-15</v>
      </c>
      <c r="T122" s="602">
        <v>-15</v>
      </c>
      <c r="U122" s="602">
        <v>-15</v>
      </c>
      <c r="V122" s="602">
        <v>-15</v>
      </c>
      <c r="W122" s="602">
        <v>-15</v>
      </c>
      <c r="X122" s="602">
        <v>-15</v>
      </c>
      <c r="Y122" s="602">
        <v>-15</v>
      </c>
      <c r="Z122" s="602">
        <v>-15</v>
      </c>
      <c r="AA122" s="602">
        <v>-15</v>
      </c>
      <c r="AB122" s="602"/>
      <c r="AC122" s="602"/>
      <c r="AD122" s="521">
        <f>SUM(E122:AC122)</f>
        <v>-240</v>
      </c>
      <c r="AE122" s="511">
        <f>AD122*D122</f>
        <v>-72000</v>
      </c>
      <c r="AF122" s="475" t="str">
        <f>IF(AD122&lt;0,"buy","sell")</f>
        <v>buy</v>
      </c>
    </row>
    <row r="123" spans="1:32" s="339" customFormat="1" ht="12" customHeight="1" x14ac:dyDescent="0.2">
      <c r="A123" s="567" t="s">
        <v>369</v>
      </c>
      <c r="B123" s="568" t="s">
        <v>241</v>
      </c>
      <c r="C123" s="568" t="s">
        <v>152</v>
      </c>
      <c r="D123" s="702">
        <v>300</v>
      </c>
      <c r="E123" s="646"/>
      <c r="F123" s="602"/>
      <c r="G123" s="646"/>
      <c r="H123" s="602"/>
      <c r="I123" s="602"/>
      <c r="J123" s="602"/>
      <c r="K123" s="602"/>
      <c r="L123" s="602">
        <v>-7</v>
      </c>
      <c r="M123" s="602">
        <v>-7</v>
      </c>
      <c r="N123" s="602">
        <v>-7</v>
      </c>
      <c r="O123" s="602">
        <v>-7</v>
      </c>
      <c r="P123" s="602">
        <v>-7</v>
      </c>
      <c r="Q123" s="602">
        <v>-7</v>
      </c>
      <c r="R123" s="602">
        <v>-7</v>
      </c>
      <c r="S123" s="602">
        <v>-7</v>
      </c>
      <c r="T123" s="602">
        <v>-7</v>
      </c>
      <c r="U123" s="602">
        <v>-7</v>
      </c>
      <c r="V123" s="602">
        <v>-7</v>
      </c>
      <c r="W123" s="602">
        <v>-7</v>
      </c>
      <c r="X123" s="602">
        <v>-7</v>
      </c>
      <c r="Y123" s="602">
        <v>-7</v>
      </c>
      <c r="Z123" s="602">
        <v>-7</v>
      </c>
      <c r="AA123" s="602">
        <v>-7</v>
      </c>
      <c r="AB123" s="602"/>
      <c r="AC123" s="602"/>
      <c r="AD123" s="521">
        <f t="shared" si="16"/>
        <v>-112</v>
      </c>
      <c r="AE123" s="511">
        <f t="shared" si="14"/>
        <v>-33600</v>
      </c>
      <c r="AF123" s="475" t="str">
        <f t="shared" si="15"/>
        <v>buy</v>
      </c>
    </row>
    <row r="124" spans="1:32" s="339" customFormat="1" ht="12" customHeight="1" x14ac:dyDescent="0.2">
      <c r="A124" s="567" t="s">
        <v>369</v>
      </c>
      <c r="B124" s="568" t="s">
        <v>241</v>
      </c>
      <c r="C124" s="568" t="s">
        <v>152</v>
      </c>
      <c r="D124" s="702">
        <v>310</v>
      </c>
      <c r="E124" s="646"/>
      <c r="F124" s="602"/>
      <c r="G124" s="646"/>
      <c r="H124" s="602"/>
      <c r="I124" s="602"/>
      <c r="J124" s="602"/>
      <c r="K124" s="602"/>
      <c r="L124" s="602">
        <v>-25</v>
      </c>
      <c r="M124" s="602">
        <v>-25</v>
      </c>
      <c r="N124" s="602">
        <v>-25</v>
      </c>
      <c r="O124" s="602">
        <v>-25</v>
      </c>
      <c r="P124" s="602">
        <v>-25</v>
      </c>
      <c r="Q124" s="602">
        <v>-25</v>
      </c>
      <c r="R124" s="602">
        <v>-25</v>
      </c>
      <c r="S124" s="602">
        <v>-25</v>
      </c>
      <c r="T124" s="602">
        <v>-25</v>
      </c>
      <c r="U124" s="602">
        <v>-25</v>
      </c>
      <c r="V124" s="602">
        <v>-25</v>
      </c>
      <c r="W124" s="602">
        <v>-25</v>
      </c>
      <c r="X124" s="602">
        <v>-25</v>
      </c>
      <c r="Y124" s="602">
        <v>-25</v>
      </c>
      <c r="Z124" s="602">
        <v>-25</v>
      </c>
      <c r="AA124" s="602">
        <v>-25</v>
      </c>
      <c r="AB124" s="602"/>
      <c r="AC124" s="602"/>
      <c r="AD124" s="521">
        <f t="shared" si="16"/>
        <v>-400</v>
      </c>
      <c r="AE124" s="511">
        <f t="shared" si="14"/>
        <v>-124000</v>
      </c>
      <c r="AF124" s="475" t="str">
        <f t="shared" si="15"/>
        <v>buy</v>
      </c>
    </row>
    <row r="125" spans="1:32" s="339" customFormat="1" ht="12" customHeight="1" x14ac:dyDescent="0.2">
      <c r="A125" s="567" t="s">
        <v>371</v>
      </c>
      <c r="B125" s="568" t="s">
        <v>241</v>
      </c>
      <c r="C125" s="568" t="s">
        <v>152</v>
      </c>
      <c r="D125" s="702">
        <v>310</v>
      </c>
      <c r="E125" s="646"/>
      <c r="F125" s="602"/>
      <c r="G125" s="646"/>
      <c r="H125" s="602"/>
      <c r="I125" s="602"/>
      <c r="J125" s="602"/>
      <c r="K125" s="602"/>
      <c r="L125" s="602">
        <v>-25</v>
      </c>
      <c r="M125" s="602">
        <v>-25</v>
      </c>
      <c r="N125" s="602">
        <v>-25</v>
      </c>
      <c r="O125" s="602">
        <v>-25</v>
      </c>
      <c r="P125" s="602">
        <v>-25</v>
      </c>
      <c r="Q125" s="602">
        <v>-25</v>
      </c>
      <c r="R125" s="602">
        <v>-25</v>
      </c>
      <c r="S125" s="602">
        <v>-25</v>
      </c>
      <c r="T125" s="602">
        <v>-25</v>
      </c>
      <c r="U125" s="602">
        <v>-25</v>
      </c>
      <c r="V125" s="602">
        <v>-25</v>
      </c>
      <c r="W125" s="602">
        <v>-25</v>
      </c>
      <c r="X125" s="602">
        <v>-25</v>
      </c>
      <c r="Y125" s="602">
        <v>-25</v>
      </c>
      <c r="Z125" s="602">
        <v>-25</v>
      </c>
      <c r="AA125" s="602">
        <v>-25</v>
      </c>
      <c r="AB125" s="602"/>
      <c r="AC125" s="602"/>
      <c r="AD125" s="521">
        <f t="shared" si="16"/>
        <v>-400</v>
      </c>
      <c r="AE125" s="511">
        <f t="shared" si="14"/>
        <v>-124000</v>
      </c>
      <c r="AF125" s="475" t="str">
        <f t="shared" si="15"/>
        <v>buy</v>
      </c>
    </row>
    <row r="126" spans="1:32" s="339" customFormat="1" ht="12" customHeight="1" x14ac:dyDescent="0.2">
      <c r="A126" s="567" t="s">
        <v>371</v>
      </c>
      <c r="B126" s="568" t="s">
        <v>241</v>
      </c>
      <c r="C126" s="568" t="s">
        <v>152</v>
      </c>
      <c r="D126" s="702">
        <v>300</v>
      </c>
      <c r="E126" s="646"/>
      <c r="F126" s="602"/>
      <c r="G126" s="646"/>
      <c r="H126" s="602"/>
      <c r="I126" s="602"/>
      <c r="J126" s="602"/>
      <c r="K126" s="602"/>
      <c r="L126" s="602">
        <v>-3</v>
      </c>
      <c r="M126" s="602">
        <v>-3</v>
      </c>
      <c r="N126" s="602">
        <v>-3</v>
      </c>
      <c r="O126" s="602">
        <v>-3</v>
      </c>
      <c r="P126" s="602">
        <v>-3</v>
      </c>
      <c r="Q126" s="602">
        <v>-3</v>
      </c>
      <c r="R126" s="602">
        <v>-3</v>
      </c>
      <c r="S126" s="602">
        <v>-3</v>
      </c>
      <c r="T126" s="602">
        <v>-3</v>
      </c>
      <c r="U126" s="602">
        <v>-3</v>
      </c>
      <c r="V126" s="602">
        <v>-3</v>
      </c>
      <c r="W126" s="602">
        <v>-3</v>
      </c>
      <c r="X126" s="602">
        <v>-3</v>
      </c>
      <c r="Y126" s="602">
        <v>-3</v>
      </c>
      <c r="Z126" s="602">
        <v>-3</v>
      </c>
      <c r="AA126" s="602">
        <v>-3</v>
      </c>
      <c r="AB126" s="602"/>
      <c r="AC126" s="602"/>
      <c r="AD126" s="521">
        <f>SUM(E126:AC126)</f>
        <v>-48</v>
      </c>
      <c r="AE126" s="511">
        <f>AD126*D126</f>
        <v>-14400</v>
      </c>
      <c r="AF126" s="475" t="str">
        <f>IF(AD126&lt;0,"buy","sell")</f>
        <v>buy</v>
      </c>
    </row>
    <row r="127" spans="1:32" s="339" customFormat="1" ht="12" customHeight="1" x14ac:dyDescent="0.2">
      <c r="A127" s="567" t="s">
        <v>371</v>
      </c>
      <c r="B127" s="568" t="s">
        <v>241</v>
      </c>
      <c r="C127" s="568" t="s">
        <v>152</v>
      </c>
      <c r="D127" s="702">
        <v>294</v>
      </c>
      <c r="E127" s="646"/>
      <c r="F127" s="602"/>
      <c r="G127" s="646"/>
      <c r="H127" s="602"/>
      <c r="I127" s="602"/>
      <c r="J127" s="602"/>
      <c r="K127" s="602"/>
      <c r="L127" s="602">
        <v>-50</v>
      </c>
      <c r="M127" s="602">
        <v>-50</v>
      </c>
      <c r="N127" s="602">
        <v>-50</v>
      </c>
      <c r="O127" s="602">
        <v>-50</v>
      </c>
      <c r="P127" s="602">
        <v>-50</v>
      </c>
      <c r="Q127" s="602">
        <v>-50</v>
      </c>
      <c r="R127" s="602">
        <v>-50</v>
      </c>
      <c r="S127" s="602">
        <v>-50</v>
      </c>
      <c r="T127" s="602">
        <v>-50</v>
      </c>
      <c r="U127" s="602">
        <v>-50</v>
      </c>
      <c r="V127" s="602">
        <v>-50</v>
      </c>
      <c r="W127" s="602">
        <v>-50</v>
      </c>
      <c r="X127" s="602">
        <v>-50</v>
      </c>
      <c r="Y127" s="602">
        <v>-50</v>
      </c>
      <c r="Z127" s="602">
        <v>-50</v>
      </c>
      <c r="AA127" s="602">
        <v>-50</v>
      </c>
      <c r="AB127" s="602"/>
      <c r="AC127" s="602"/>
      <c r="AD127" s="521">
        <f t="shared" si="16"/>
        <v>-800</v>
      </c>
      <c r="AE127" s="511">
        <f t="shared" si="14"/>
        <v>-235200</v>
      </c>
      <c r="AF127" s="475" t="str">
        <f t="shared" si="15"/>
        <v>buy</v>
      </c>
    </row>
    <row r="128" spans="1:32" s="339" customFormat="1" ht="12.75" customHeight="1" x14ac:dyDescent="0.2">
      <c r="A128" s="567"/>
      <c r="B128" s="568"/>
      <c r="C128" s="568"/>
      <c r="D128" s="673"/>
      <c r="E128" s="646"/>
      <c r="F128" s="602"/>
      <c r="G128" s="602"/>
      <c r="H128" s="602"/>
      <c r="I128" s="602"/>
      <c r="J128" s="602"/>
      <c r="K128" s="602"/>
      <c r="L128" s="602"/>
      <c r="M128" s="602"/>
      <c r="N128" s="602"/>
      <c r="O128" s="602"/>
      <c r="P128" s="602"/>
      <c r="Q128" s="602"/>
      <c r="R128" s="602"/>
      <c r="S128" s="602"/>
      <c r="T128" s="602"/>
      <c r="U128" s="602"/>
      <c r="V128" s="602"/>
      <c r="W128" s="602"/>
      <c r="X128" s="602"/>
      <c r="Y128" s="602"/>
      <c r="Z128" s="602"/>
      <c r="AA128" s="602"/>
      <c r="AB128" s="602"/>
      <c r="AC128" s="602"/>
      <c r="AD128" s="570"/>
      <c r="AE128" s="511"/>
      <c r="AF128" s="475" t="str">
        <f t="shared" si="15"/>
        <v>sell</v>
      </c>
    </row>
    <row r="129" spans="1:33" s="339" customFormat="1" x14ac:dyDescent="0.2">
      <c r="A129" s="556"/>
      <c r="B129" s="507"/>
      <c r="C129" s="507"/>
      <c r="D129" s="676"/>
      <c r="E129" s="677"/>
      <c r="F129" s="678"/>
      <c r="G129" s="678"/>
      <c r="H129" s="678"/>
      <c r="I129" s="678"/>
      <c r="J129" s="678"/>
      <c r="K129" s="678"/>
      <c r="L129" s="678"/>
      <c r="M129" s="678"/>
      <c r="N129" s="678"/>
      <c r="O129" s="678"/>
      <c r="P129" s="678"/>
      <c r="Q129" s="678"/>
      <c r="R129" s="678"/>
      <c r="S129" s="678"/>
      <c r="T129" s="678"/>
      <c r="U129" s="678"/>
      <c r="V129" s="678"/>
      <c r="W129" s="678"/>
      <c r="X129" s="678"/>
      <c r="Y129" s="678"/>
      <c r="Z129" s="678"/>
      <c r="AA129" s="678"/>
      <c r="AB129" s="678"/>
      <c r="AC129" s="678"/>
      <c r="AD129" s="570"/>
      <c r="AE129" s="511"/>
      <c r="AF129" s="475"/>
    </row>
    <row r="130" spans="1:33" s="339" customFormat="1" x14ac:dyDescent="0.2">
      <c r="A130" s="556" t="s">
        <v>375</v>
      </c>
      <c r="B130" s="507" t="s">
        <v>382</v>
      </c>
      <c r="C130" s="507" t="s">
        <v>152</v>
      </c>
      <c r="D130" s="676">
        <v>265</v>
      </c>
      <c r="E130" s="679"/>
      <c r="F130" s="647"/>
      <c r="G130" s="648"/>
      <c r="H130" s="648"/>
      <c r="I130" s="648"/>
      <c r="J130" s="648"/>
      <c r="K130" s="648"/>
      <c r="L130" s="648"/>
      <c r="M130" s="648"/>
      <c r="N130" s="648"/>
      <c r="O130" s="648"/>
      <c r="P130" s="648"/>
      <c r="Q130" s="648"/>
      <c r="R130" s="648"/>
      <c r="S130" s="648"/>
      <c r="T130" s="648"/>
      <c r="U130" s="648"/>
      <c r="V130" s="648">
        <v>-8</v>
      </c>
      <c r="W130" s="648"/>
      <c r="X130" s="648"/>
      <c r="Y130" s="648"/>
      <c r="Z130" s="648"/>
      <c r="AA130" s="648"/>
      <c r="AB130" s="648"/>
      <c r="AC130" s="648"/>
      <c r="AD130" s="570">
        <f>SUM(E130:AC130)</f>
        <v>-8</v>
      </c>
      <c r="AE130" s="511">
        <f>AD130*D130</f>
        <v>-2120</v>
      </c>
      <c r="AF130" s="475" t="str">
        <f>IF(AD130&lt;0,"buy","sell")</f>
        <v>buy</v>
      </c>
    </row>
    <row r="131" spans="1:33" s="339" customFormat="1" x14ac:dyDescent="0.2">
      <c r="A131" s="556"/>
      <c r="B131" s="507"/>
      <c r="C131" s="507"/>
      <c r="D131" s="676"/>
      <c r="E131" s="679"/>
      <c r="F131" s="647"/>
      <c r="G131" s="648"/>
      <c r="H131" s="648"/>
      <c r="I131" s="648"/>
      <c r="J131" s="648"/>
      <c r="K131" s="648"/>
      <c r="L131" s="648"/>
      <c r="M131" s="648"/>
      <c r="N131" s="648"/>
      <c r="O131" s="648"/>
      <c r="P131" s="648"/>
      <c r="Q131" s="648"/>
      <c r="R131" s="648"/>
      <c r="S131" s="648"/>
      <c r="T131" s="648"/>
      <c r="U131" s="648"/>
      <c r="V131" s="648"/>
      <c r="W131" s="648"/>
      <c r="X131" s="648"/>
      <c r="Y131" s="648"/>
      <c r="Z131" s="648"/>
      <c r="AA131" s="648"/>
      <c r="AB131" s="648"/>
      <c r="AC131" s="648"/>
      <c r="AD131" s="570"/>
      <c r="AE131" s="511"/>
      <c r="AF131" s="475"/>
    </row>
    <row r="132" spans="1:33" s="339" customFormat="1" x14ac:dyDescent="0.2">
      <c r="A132" s="561"/>
      <c r="B132" s="491"/>
      <c r="C132" s="597"/>
      <c r="D132" s="486"/>
      <c r="E132" s="486"/>
      <c r="F132" s="487"/>
      <c r="G132" s="487"/>
      <c r="H132" s="651"/>
      <c r="I132" s="487"/>
      <c r="J132" s="487"/>
      <c r="K132" s="487"/>
      <c r="L132" s="487"/>
      <c r="M132" s="487"/>
      <c r="N132" s="487"/>
      <c r="O132" s="487"/>
      <c r="P132" s="487"/>
      <c r="Q132" s="487"/>
      <c r="R132" s="487"/>
      <c r="S132" s="487"/>
      <c r="T132" s="487"/>
      <c r="U132" s="487"/>
      <c r="V132" s="487"/>
      <c r="W132" s="487"/>
      <c r="X132" s="487"/>
      <c r="Y132" s="487"/>
      <c r="Z132" s="487"/>
      <c r="AA132" s="487"/>
      <c r="AB132" s="487"/>
      <c r="AC132" s="488"/>
      <c r="AD132" s="570"/>
      <c r="AE132" s="511"/>
      <c r="AF132" s="475"/>
    </row>
    <row r="133" spans="1:33" s="696" customFormat="1" x14ac:dyDescent="0.2">
      <c r="A133" s="691"/>
      <c r="B133" s="692"/>
      <c r="C133" s="692"/>
      <c r="D133" s="671"/>
      <c r="E133" s="693"/>
      <c r="F133" s="689"/>
      <c r="G133" s="689"/>
      <c r="H133" s="694"/>
      <c r="I133" s="695"/>
      <c r="J133" s="695"/>
      <c r="K133" s="695"/>
      <c r="L133" s="695"/>
      <c r="M133" s="695"/>
      <c r="N133" s="695"/>
      <c r="O133" s="695"/>
      <c r="P133" s="695"/>
      <c r="Q133" s="695"/>
      <c r="R133" s="695"/>
      <c r="S133" s="695"/>
      <c r="T133" s="695"/>
      <c r="U133" s="695"/>
      <c r="V133" s="695"/>
      <c r="W133" s="695"/>
      <c r="X133" s="695"/>
      <c r="Y133" s="695"/>
      <c r="Z133" s="695"/>
      <c r="AA133" s="695"/>
      <c r="AB133" s="695"/>
      <c r="AC133" s="690"/>
      <c r="AD133" s="697"/>
      <c r="AE133" s="698"/>
      <c r="AF133" s="661"/>
    </row>
    <row r="134" spans="1:33" s="339" customFormat="1" x14ac:dyDescent="0.2">
      <c r="A134" s="489" t="s">
        <v>207</v>
      </c>
      <c r="B134" s="443"/>
      <c r="C134" s="443"/>
      <c r="D134" s="443"/>
      <c r="E134" s="443"/>
      <c r="F134" s="591"/>
      <c r="G134" s="443"/>
      <c r="H134" s="652"/>
      <c r="I134" s="443"/>
      <c r="J134" s="443"/>
      <c r="K134" s="443"/>
      <c r="L134" s="443"/>
      <c r="M134" s="443"/>
      <c r="N134" s="443"/>
      <c r="O134" s="443"/>
      <c r="P134" s="443"/>
      <c r="Q134" s="443"/>
      <c r="R134" s="443"/>
      <c r="S134" s="443"/>
      <c r="T134" s="443"/>
      <c r="U134" s="443"/>
      <c r="V134" s="443"/>
      <c r="W134" s="443"/>
      <c r="X134" s="443"/>
      <c r="Y134" s="443"/>
      <c r="Z134" s="443"/>
      <c r="AA134" s="443"/>
      <c r="AB134" s="443"/>
      <c r="AC134" s="443"/>
      <c r="AD134" s="443"/>
      <c r="AE134" s="443"/>
      <c r="AF134" s="443"/>
    </row>
    <row r="135" spans="1:33" x14ac:dyDescent="0.2">
      <c r="A135" s="339"/>
      <c r="B135" s="350"/>
      <c r="C135" s="350"/>
      <c r="D135" s="351"/>
      <c r="E135" s="351"/>
      <c r="F135" s="12"/>
      <c r="G135" s="352"/>
      <c r="H135" s="653"/>
      <c r="I135" s="352"/>
      <c r="J135" s="352"/>
      <c r="K135" s="352"/>
      <c r="L135" s="352"/>
      <c r="M135" s="576"/>
      <c r="N135" s="576"/>
      <c r="O135" s="576"/>
      <c r="P135" s="576"/>
      <c r="Q135" s="576"/>
      <c r="R135" s="576"/>
      <c r="S135" s="576"/>
      <c r="T135" s="576"/>
      <c r="U135" s="576"/>
      <c r="V135" s="576"/>
      <c r="W135" s="576"/>
      <c r="X135" s="576"/>
      <c r="Y135" s="576"/>
      <c r="Z135" s="576"/>
      <c r="AA135" s="576"/>
      <c r="AB135" s="576"/>
      <c r="AC135" s="581"/>
      <c r="AD135" s="430"/>
      <c r="AE135" s="431"/>
      <c r="AF135" s="419"/>
      <c r="AG135" s="339"/>
    </row>
    <row r="136" spans="1:33" s="339" customFormat="1" ht="18" x14ac:dyDescent="0.25">
      <c r="A136" s="405" t="s">
        <v>242</v>
      </c>
      <c r="B136" s="406"/>
      <c r="C136" s="481"/>
      <c r="D136" s="407"/>
      <c r="E136" s="407"/>
      <c r="F136" s="12"/>
      <c r="G136" s="409"/>
      <c r="H136" s="399"/>
      <c r="I136" s="355"/>
      <c r="J136" s="355"/>
      <c r="K136" s="355"/>
      <c r="L136" s="355"/>
      <c r="M136" s="577"/>
      <c r="N136" s="577"/>
      <c r="O136" s="577"/>
      <c r="P136" s="577"/>
      <c r="Q136" s="577"/>
      <c r="R136" s="577"/>
      <c r="S136" s="577" t="s">
        <v>15</v>
      </c>
      <c r="T136" s="577"/>
      <c r="U136" s="577"/>
      <c r="V136" s="577"/>
      <c r="W136" s="577"/>
      <c r="X136" s="577"/>
      <c r="Y136" s="577"/>
      <c r="Z136" s="582"/>
      <c r="AA136" s="582"/>
      <c r="AB136" s="582"/>
      <c r="AC136" s="581"/>
      <c r="AD136" s="430"/>
      <c r="AE136" s="431"/>
      <c r="AF136" s="356"/>
    </row>
    <row r="137" spans="1:33" s="339" customFormat="1" ht="18.75" thickBot="1" x14ac:dyDescent="0.3">
      <c r="A137" s="410"/>
      <c r="B137" s="411"/>
      <c r="C137" s="411"/>
      <c r="D137" s="407"/>
      <c r="E137" s="407"/>
      <c r="F137" s="592" t="s">
        <v>272</v>
      </c>
      <c r="G137" s="409"/>
      <c r="H137" s="399"/>
      <c r="I137" s="355"/>
      <c r="J137" s="355"/>
      <c r="K137" s="357"/>
      <c r="L137" s="357"/>
      <c r="M137" s="577"/>
      <c r="N137" s="577"/>
      <c r="O137" s="577"/>
      <c r="P137" s="577"/>
      <c r="Q137" s="577"/>
      <c r="R137" s="577"/>
      <c r="S137" s="577"/>
      <c r="T137" s="577"/>
      <c r="U137" s="577"/>
      <c r="V137" s="577"/>
      <c r="W137" s="577"/>
      <c r="X137" s="577"/>
      <c r="Y137" s="577"/>
      <c r="Z137" s="582"/>
      <c r="AA137" s="582"/>
      <c r="AB137" s="582"/>
      <c r="AC137" s="581"/>
      <c r="AD137" s="430"/>
      <c r="AE137" s="431"/>
      <c r="AF137" s="356"/>
    </row>
    <row r="138" spans="1:33" s="339" customFormat="1" ht="18.75" thickBot="1" x14ac:dyDescent="0.3">
      <c r="A138" s="412" t="s">
        <v>7</v>
      </c>
      <c r="B138" s="413"/>
      <c r="C138" s="413" t="s">
        <v>266</v>
      </c>
      <c r="D138" s="414" t="s">
        <v>9</v>
      </c>
      <c r="E138" s="413"/>
      <c r="F138" s="593" t="s">
        <v>320</v>
      </c>
      <c r="G138" s="416"/>
      <c r="H138" s="399"/>
      <c r="I138" s="355"/>
      <c r="J138" s="355"/>
      <c r="K138" s="357"/>
      <c r="L138" s="355"/>
      <c r="M138" s="577"/>
      <c r="N138" s="577"/>
      <c r="O138" s="577"/>
      <c r="P138" s="577"/>
      <c r="Q138" s="577"/>
      <c r="R138" s="577"/>
      <c r="S138" s="577"/>
      <c r="T138" s="577"/>
      <c r="U138" s="577"/>
      <c r="V138" s="577"/>
      <c r="W138" s="577"/>
      <c r="X138" s="577"/>
      <c r="Y138" s="577"/>
      <c r="Z138" s="383"/>
      <c r="AA138" s="582"/>
      <c r="AB138" s="582"/>
      <c r="AC138" s="581"/>
      <c r="AD138" s="430"/>
      <c r="AE138" s="431"/>
      <c r="AF138" s="356"/>
    </row>
    <row r="139" spans="1:33" s="339" customFormat="1" ht="18" x14ac:dyDescent="0.25">
      <c r="A139" s="417" t="s">
        <v>244</v>
      </c>
      <c r="B139" s="418" t="s">
        <v>245</v>
      </c>
      <c r="C139" s="418"/>
      <c r="D139" s="509"/>
      <c r="E139" s="418"/>
      <c r="F139" s="594">
        <f>D140-0.25</f>
        <v>-0.25</v>
      </c>
      <c r="G139" s="409" t="s">
        <v>321</v>
      </c>
      <c r="H139" s="399"/>
      <c r="I139" s="355"/>
      <c r="J139" s="355"/>
      <c r="K139" s="357"/>
      <c r="L139" s="355"/>
      <c r="M139" s="577"/>
      <c r="N139" s="577"/>
      <c r="O139" s="577"/>
      <c r="P139" s="577"/>
      <c r="Q139" s="577"/>
      <c r="R139" s="577"/>
      <c r="S139" s="577"/>
      <c r="T139" s="577"/>
      <c r="U139" s="577"/>
      <c r="V139" s="577"/>
      <c r="W139" s="577"/>
      <c r="X139" s="577"/>
      <c r="Y139" s="577"/>
      <c r="Z139" s="582" t="s">
        <v>208</v>
      </c>
      <c r="AA139" s="582"/>
      <c r="AB139" s="582"/>
      <c r="AC139" s="583"/>
      <c r="AD139" s="426"/>
      <c r="AE139" s="427"/>
      <c r="AF139" s="356"/>
    </row>
    <row r="140" spans="1:33" s="339" customFormat="1" x14ac:dyDescent="0.2">
      <c r="A140" s="411">
        <v>24</v>
      </c>
      <c r="B140" s="411">
        <v>1</v>
      </c>
      <c r="C140" s="419">
        <v>1</v>
      </c>
      <c r="D140" s="512"/>
      <c r="E140" s="447"/>
      <c r="F140" s="594">
        <f t="shared" ref="F140:F163" si="17">D141-0.25</f>
        <v>-0.25</v>
      </c>
      <c r="G140" s="490">
        <f>D140+0.56</f>
        <v>0.56000000000000005</v>
      </c>
      <c r="H140" s="399"/>
      <c r="I140" s="355"/>
      <c r="J140" s="355"/>
      <c r="K140" s="357"/>
      <c r="L140" s="355"/>
      <c r="M140" s="577"/>
      <c r="N140" s="577"/>
      <c r="O140" s="577"/>
      <c r="P140" s="577"/>
      <c r="Q140" s="577"/>
      <c r="R140" s="577"/>
      <c r="S140" s="577"/>
      <c r="T140" s="577"/>
      <c r="U140" s="577"/>
      <c r="V140" s="577"/>
      <c r="W140" s="577"/>
      <c r="X140" s="577"/>
      <c r="Y140" s="577"/>
      <c r="Z140" s="582"/>
      <c r="AA140" s="577"/>
      <c r="AB140" s="577"/>
      <c r="AC140" s="583"/>
      <c r="AD140" s="383"/>
      <c r="AE140" s="383"/>
      <c r="AF140" s="477"/>
    </row>
    <row r="141" spans="1:33" s="339" customFormat="1" x14ac:dyDescent="0.2">
      <c r="A141" s="409">
        <v>1</v>
      </c>
      <c r="B141" s="409">
        <v>2</v>
      </c>
      <c r="C141" s="419">
        <v>1</v>
      </c>
      <c r="D141" s="512"/>
      <c r="E141" s="447"/>
      <c r="F141" s="594">
        <f t="shared" si="17"/>
        <v>-0.25</v>
      </c>
      <c r="G141" s="490">
        <f t="shared" ref="G141:G164" si="18">D141+0.56</f>
        <v>0.56000000000000005</v>
      </c>
      <c r="H141" s="399"/>
      <c r="I141" s="355"/>
      <c r="J141" s="355"/>
      <c r="K141" s="357"/>
      <c r="L141" s="355"/>
      <c r="M141" s="577"/>
      <c r="N141" s="577"/>
      <c r="O141" s="577"/>
      <c r="P141" s="577"/>
      <c r="Q141" s="577"/>
      <c r="R141" s="577"/>
      <c r="S141" s="577"/>
      <c r="T141" s="577"/>
      <c r="U141" s="577"/>
      <c r="V141" s="577"/>
      <c r="W141" s="577"/>
      <c r="X141" s="577"/>
      <c r="Y141" s="577"/>
      <c r="Z141" s="577" t="s">
        <v>267</v>
      </c>
      <c r="AA141" s="577"/>
      <c r="AB141" s="577"/>
      <c r="AC141" s="583"/>
      <c r="AD141" s="439">
        <f>SUM(AD22:AD120)</f>
        <v>3368</v>
      </c>
      <c r="AE141" s="439">
        <f>SUM(AE22:AE120)</f>
        <v>553800</v>
      </c>
      <c r="AF141" s="477"/>
    </row>
    <row r="142" spans="1:33" s="339" customFormat="1" x14ac:dyDescent="0.2">
      <c r="A142" s="411">
        <v>2</v>
      </c>
      <c r="B142" s="411">
        <v>3</v>
      </c>
      <c r="C142" s="419">
        <v>1</v>
      </c>
      <c r="D142" s="512"/>
      <c r="E142" s="447"/>
      <c r="F142" s="594">
        <f>D143-0.25</f>
        <v>-0.25</v>
      </c>
      <c r="G142" s="490">
        <f t="shared" si="18"/>
        <v>0.56000000000000005</v>
      </c>
      <c r="H142" s="399"/>
      <c r="I142" s="355"/>
      <c r="J142" s="355"/>
      <c r="K142" s="357"/>
      <c r="L142" s="355"/>
      <c r="M142" s="577"/>
      <c r="N142" s="577"/>
      <c r="O142" s="577"/>
      <c r="P142" s="577"/>
      <c r="Q142" s="577"/>
      <c r="R142" s="577"/>
      <c r="S142" s="577"/>
      <c r="T142" s="577"/>
      <c r="U142" s="577"/>
      <c r="V142" s="577"/>
      <c r="W142" s="577"/>
      <c r="X142" s="577"/>
      <c r="Y142" s="577"/>
      <c r="Z142" s="577" t="s">
        <v>268</v>
      </c>
      <c r="AA142" s="577"/>
      <c r="AB142" s="577"/>
      <c r="AC142" s="584"/>
      <c r="AD142" s="434">
        <f>SUM(AD120:AD131)</f>
        <v>-2408</v>
      </c>
      <c r="AE142" s="434">
        <f>SUM(AE121:AE131)</f>
        <v>-725320</v>
      </c>
      <c r="AF142" s="477"/>
    </row>
    <row r="143" spans="1:33" s="339" customFormat="1" x14ac:dyDescent="0.2">
      <c r="A143" s="409">
        <v>3</v>
      </c>
      <c r="B143" s="409">
        <v>4</v>
      </c>
      <c r="C143" s="419">
        <v>1</v>
      </c>
      <c r="D143" s="512"/>
      <c r="E143" s="447"/>
      <c r="F143" s="594">
        <f t="shared" si="17"/>
        <v>-0.25</v>
      </c>
      <c r="G143" s="490">
        <f>D143+0.56</f>
        <v>0.56000000000000005</v>
      </c>
      <c r="H143" s="399"/>
      <c r="I143" s="361"/>
      <c r="J143" s="361"/>
      <c r="K143" s="362"/>
      <c r="L143" s="361"/>
      <c r="M143" s="577"/>
      <c r="N143" s="577"/>
      <c r="O143" s="577"/>
      <c r="P143" s="577"/>
      <c r="Q143" s="577"/>
      <c r="R143" s="577"/>
      <c r="S143" s="577"/>
      <c r="T143" s="577"/>
      <c r="U143" s="577"/>
      <c r="V143" s="577"/>
      <c r="W143" s="577"/>
      <c r="X143" s="577"/>
      <c r="Y143" s="577"/>
      <c r="Z143" s="585"/>
      <c r="AA143" s="585"/>
      <c r="AB143" s="585"/>
      <c r="AC143" s="586"/>
      <c r="AF143" s="368"/>
    </row>
    <row r="144" spans="1:33" s="383" customFormat="1" x14ac:dyDescent="0.2">
      <c r="A144" s="411">
        <v>4</v>
      </c>
      <c r="B144" s="411">
        <v>5</v>
      </c>
      <c r="C144" s="419">
        <v>1</v>
      </c>
      <c r="D144" s="512"/>
      <c r="E144" s="447"/>
      <c r="F144" s="594">
        <f t="shared" si="17"/>
        <v>-0.25</v>
      </c>
      <c r="G144" s="490">
        <f t="shared" si="18"/>
        <v>0.56000000000000005</v>
      </c>
      <c r="H144" s="399"/>
      <c r="I144" s="339"/>
      <c r="J144" s="339"/>
      <c r="K144" s="339"/>
      <c r="L144" s="339"/>
      <c r="O144" s="577"/>
      <c r="P144" s="577"/>
      <c r="Q144" s="577"/>
      <c r="R144" s="577"/>
      <c r="S144" s="577"/>
      <c r="T144" s="577"/>
      <c r="U144" s="577"/>
      <c r="V144" s="577"/>
      <c r="W144" s="577"/>
      <c r="X144" s="577"/>
      <c r="Y144" s="577"/>
      <c r="Z144" s="587" t="s">
        <v>281</v>
      </c>
      <c r="AA144" s="587"/>
      <c r="AB144" s="587"/>
      <c r="AC144" s="588"/>
      <c r="AD144" s="564"/>
      <c r="AE144" s="565"/>
      <c r="AG144" s="339"/>
    </row>
    <row r="145" spans="1:33" s="383" customFormat="1" x14ac:dyDescent="0.2">
      <c r="A145" s="409">
        <v>5</v>
      </c>
      <c r="B145" s="409">
        <v>6</v>
      </c>
      <c r="C145" s="419">
        <v>1</v>
      </c>
      <c r="D145" s="512"/>
      <c r="E145" s="447"/>
      <c r="F145" s="594">
        <f t="shared" si="17"/>
        <v>-0.25</v>
      </c>
      <c r="G145" s="490">
        <f t="shared" si="18"/>
        <v>0.56000000000000005</v>
      </c>
      <c r="H145" s="399"/>
      <c r="I145" s="339"/>
      <c r="J145" s="339"/>
      <c r="K145" s="339"/>
      <c r="L145" s="339"/>
      <c r="O145" s="577"/>
      <c r="P145" s="577"/>
      <c r="Q145" s="577"/>
      <c r="R145" s="577"/>
      <c r="S145" s="577"/>
      <c r="T145" s="577"/>
      <c r="U145" s="577"/>
      <c r="V145" s="577"/>
      <c r="W145" s="577"/>
      <c r="X145" s="577"/>
      <c r="Y145" s="577"/>
      <c r="Z145" s="587"/>
      <c r="AA145" s="587"/>
      <c r="AB145" s="587"/>
      <c r="AC145" s="588"/>
      <c r="AD145" s="564"/>
      <c r="AE145" s="565"/>
      <c r="AG145" s="355"/>
    </row>
    <row r="146" spans="1:33" s="383" customFormat="1" x14ac:dyDescent="0.2">
      <c r="A146" s="411">
        <v>6</v>
      </c>
      <c r="B146" s="411">
        <v>7</v>
      </c>
      <c r="C146" s="419">
        <v>1</v>
      </c>
      <c r="D146" s="512"/>
      <c r="E146" s="447"/>
      <c r="F146" s="594">
        <f>D147-0.25</f>
        <v>-0.25</v>
      </c>
      <c r="G146" s="490">
        <f t="shared" si="18"/>
        <v>0.56000000000000005</v>
      </c>
      <c r="H146" s="399"/>
      <c r="I146" s="339"/>
      <c r="J146" s="339"/>
      <c r="K146" s="339"/>
      <c r="L146" s="339"/>
      <c r="O146" s="577"/>
      <c r="P146" s="577"/>
      <c r="Q146" s="577"/>
      <c r="R146" s="577"/>
      <c r="S146" s="577"/>
      <c r="T146" s="577"/>
      <c r="U146" s="577"/>
      <c r="V146" s="577"/>
      <c r="W146" s="577"/>
      <c r="X146" s="577"/>
      <c r="Y146" s="577"/>
      <c r="Z146" s="587" t="s">
        <v>268</v>
      </c>
      <c r="AA146" s="587"/>
      <c r="AB146" s="587"/>
      <c r="AC146" s="588"/>
      <c r="AD146" s="566">
        <f>SUM(AD132:AD133)</f>
        <v>0</v>
      </c>
      <c r="AE146" s="566">
        <f>SUM(AE132:AE133)</f>
        <v>0</v>
      </c>
      <c r="AG146" s="339"/>
    </row>
    <row r="147" spans="1:33" s="383" customFormat="1" x14ac:dyDescent="0.2">
      <c r="A147" s="409">
        <v>7</v>
      </c>
      <c r="B147" s="409">
        <v>8</v>
      </c>
      <c r="C147" s="419">
        <v>1</v>
      </c>
      <c r="D147" s="512"/>
      <c r="E147" s="447"/>
      <c r="F147" s="594">
        <f t="shared" si="17"/>
        <v>-0.25</v>
      </c>
      <c r="G147" s="490">
        <f t="shared" si="18"/>
        <v>0.56000000000000005</v>
      </c>
      <c r="H147" s="399"/>
      <c r="I147" s="339"/>
      <c r="J147" s="339"/>
      <c r="K147" s="339"/>
      <c r="L147" s="339"/>
      <c r="O147" s="577"/>
      <c r="P147" s="577"/>
      <c r="Q147" s="577"/>
      <c r="R147" s="577"/>
      <c r="S147" s="577"/>
      <c r="T147" s="577"/>
      <c r="U147" s="577"/>
      <c r="V147" s="577"/>
      <c r="W147" s="577"/>
      <c r="X147" s="577"/>
      <c r="Y147" s="577"/>
      <c r="AC147" s="437"/>
      <c r="AG147" s="339"/>
    </row>
    <row r="148" spans="1:33" s="383" customFormat="1" x14ac:dyDescent="0.2">
      <c r="A148" s="411">
        <v>8</v>
      </c>
      <c r="B148" s="411">
        <v>9</v>
      </c>
      <c r="C148" s="419">
        <v>1</v>
      </c>
      <c r="D148" s="512"/>
      <c r="E148" s="447"/>
      <c r="F148" s="594">
        <f t="shared" si="17"/>
        <v>-0.25</v>
      </c>
      <c r="G148" s="490">
        <f t="shared" si="18"/>
        <v>0.56000000000000005</v>
      </c>
      <c r="H148" s="399"/>
      <c r="I148" s="339"/>
      <c r="J148" s="339"/>
      <c r="K148" s="339"/>
      <c r="L148" s="339"/>
      <c r="O148" s="577"/>
      <c r="P148" s="577"/>
      <c r="Q148" s="577"/>
      <c r="R148" s="577"/>
      <c r="S148" s="577"/>
      <c r="T148" s="577"/>
      <c r="U148" s="577"/>
      <c r="V148" s="577"/>
      <c r="W148" s="577"/>
      <c r="X148" s="577"/>
      <c r="Y148" s="577"/>
      <c r="AC148" s="437"/>
      <c r="AG148" s="339"/>
    </row>
    <row r="149" spans="1:33" s="383" customFormat="1" x14ac:dyDescent="0.2">
      <c r="A149" s="409">
        <v>9</v>
      </c>
      <c r="B149" s="409">
        <v>10</v>
      </c>
      <c r="C149" s="419">
        <v>1</v>
      </c>
      <c r="D149" s="512"/>
      <c r="E149" s="447"/>
      <c r="F149" s="594">
        <f t="shared" si="17"/>
        <v>-0.25</v>
      </c>
      <c r="G149" s="490">
        <f t="shared" si="18"/>
        <v>0.56000000000000005</v>
      </c>
      <c r="H149" s="399"/>
      <c r="I149" s="339"/>
      <c r="J149" s="339"/>
      <c r="K149" s="339"/>
      <c r="L149" s="339"/>
      <c r="O149" s="577"/>
      <c r="P149" s="577"/>
      <c r="Q149" s="577"/>
      <c r="R149" s="577"/>
      <c r="S149" s="577"/>
      <c r="T149" s="577"/>
      <c r="U149" s="577"/>
      <c r="V149" s="577"/>
      <c r="W149" s="577"/>
      <c r="X149" s="577"/>
      <c r="Y149" s="577"/>
      <c r="AC149" s="437"/>
      <c r="AG149" s="339"/>
    </row>
    <row r="150" spans="1:33" s="383" customFormat="1" x14ac:dyDescent="0.2">
      <c r="A150" s="411">
        <v>10</v>
      </c>
      <c r="B150" s="411">
        <v>11</v>
      </c>
      <c r="C150" s="419">
        <v>1</v>
      </c>
      <c r="D150" s="512"/>
      <c r="E150" s="447"/>
      <c r="F150" s="594">
        <f t="shared" si="17"/>
        <v>-0.25</v>
      </c>
      <c r="G150" s="490">
        <f t="shared" si="18"/>
        <v>0.56000000000000005</v>
      </c>
      <c r="H150" s="654"/>
      <c r="I150" s="385"/>
      <c r="J150" s="385"/>
      <c r="K150" s="385"/>
      <c r="L150" s="385"/>
      <c r="O150" s="589"/>
      <c r="P150" s="589"/>
      <c r="Q150" s="589"/>
      <c r="R150" s="589"/>
      <c r="S150" s="589"/>
      <c r="T150" s="589"/>
      <c r="U150" s="589"/>
      <c r="V150" s="589"/>
      <c r="W150" s="589"/>
      <c r="X150" s="589"/>
      <c r="Y150" s="589"/>
      <c r="AC150" s="437"/>
      <c r="AG150" s="339"/>
    </row>
    <row r="151" spans="1:33" s="383" customFormat="1" x14ac:dyDescent="0.2">
      <c r="A151" s="409">
        <v>11</v>
      </c>
      <c r="B151" s="409">
        <v>12</v>
      </c>
      <c r="C151" s="419">
        <v>1</v>
      </c>
      <c r="D151" s="512"/>
      <c r="E151" s="447"/>
      <c r="F151" s="594">
        <f t="shared" si="17"/>
        <v>-0.25</v>
      </c>
      <c r="G151" s="490">
        <f t="shared" si="18"/>
        <v>0.56000000000000005</v>
      </c>
      <c r="H151" s="655"/>
      <c r="I151" s="339"/>
      <c r="J151" s="339"/>
      <c r="K151" s="339"/>
      <c r="L151" s="339"/>
      <c r="O151" s="585"/>
      <c r="P151" s="585"/>
      <c r="Q151" s="585"/>
      <c r="R151" s="585"/>
      <c r="S151" s="585"/>
      <c r="T151" s="585"/>
      <c r="U151" s="585"/>
      <c r="V151" s="585"/>
      <c r="W151" s="585"/>
      <c r="X151" s="585"/>
      <c r="Y151" s="585"/>
      <c r="AC151" s="437"/>
      <c r="AG151" s="339"/>
    </row>
    <row r="152" spans="1:33" s="383" customFormat="1" x14ac:dyDescent="0.2">
      <c r="A152" s="411">
        <v>12</v>
      </c>
      <c r="B152" s="411">
        <v>13</v>
      </c>
      <c r="C152" s="419">
        <v>1</v>
      </c>
      <c r="D152" s="512"/>
      <c r="E152" s="447"/>
      <c r="F152" s="594">
        <f t="shared" si="17"/>
        <v>-0.25</v>
      </c>
      <c r="G152" s="490">
        <f t="shared" si="18"/>
        <v>0.56000000000000005</v>
      </c>
      <c r="H152" s="655"/>
      <c r="I152" s="339"/>
      <c r="J152" s="339"/>
      <c r="K152" s="339"/>
      <c r="L152" s="339"/>
      <c r="O152" s="585"/>
      <c r="P152" s="585"/>
      <c r="Q152" s="585"/>
      <c r="R152" s="585"/>
      <c r="S152" s="585"/>
      <c r="T152" s="585"/>
      <c r="U152" s="585"/>
      <c r="V152" s="585"/>
      <c r="W152" s="585"/>
      <c r="X152" s="585"/>
      <c r="Y152" s="585"/>
      <c r="Z152" s="585"/>
      <c r="AA152" s="585"/>
      <c r="AB152" s="585"/>
      <c r="AC152" s="586"/>
      <c r="AG152" s="339"/>
    </row>
    <row r="153" spans="1:33" s="383" customFormat="1" x14ac:dyDescent="0.2">
      <c r="A153" s="409">
        <v>13</v>
      </c>
      <c r="B153" s="409">
        <v>14</v>
      </c>
      <c r="C153" s="419">
        <v>1</v>
      </c>
      <c r="D153" s="512"/>
      <c r="E153" s="447"/>
      <c r="F153" s="594">
        <f t="shared" si="17"/>
        <v>-0.25</v>
      </c>
      <c r="G153" s="490">
        <f t="shared" si="18"/>
        <v>0.56000000000000005</v>
      </c>
      <c r="H153" s="655"/>
      <c r="I153" s="339"/>
      <c r="J153" s="339"/>
      <c r="K153" s="339"/>
      <c r="L153" s="339"/>
      <c r="O153" s="585"/>
      <c r="P153" s="585"/>
      <c r="Q153" s="585"/>
      <c r="R153" s="585"/>
      <c r="S153" s="585"/>
      <c r="T153" s="585"/>
      <c r="U153" s="585"/>
      <c r="V153" s="585"/>
      <c r="W153" s="585"/>
      <c r="X153" s="585"/>
      <c r="Y153" s="585"/>
      <c r="Z153" s="585"/>
      <c r="AA153" s="585"/>
      <c r="AB153" s="585"/>
      <c r="AC153" s="586"/>
      <c r="AD153" s="430"/>
      <c r="AE153" s="431"/>
      <c r="AF153" s="432"/>
      <c r="AG153" s="339"/>
    </row>
    <row r="154" spans="1:33" s="383" customFormat="1" x14ac:dyDescent="0.2">
      <c r="A154" s="411">
        <v>14</v>
      </c>
      <c r="B154" s="411">
        <v>15</v>
      </c>
      <c r="C154" s="419">
        <v>1</v>
      </c>
      <c r="D154" s="512"/>
      <c r="E154" s="447"/>
      <c r="F154" s="594">
        <f t="shared" si="17"/>
        <v>-0.25</v>
      </c>
      <c r="G154" s="490">
        <f t="shared" si="18"/>
        <v>0.56000000000000005</v>
      </c>
      <c r="H154" s="655"/>
      <c r="I154" s="339"/>
      <c r="J154" s="339"/>
      <c r="K154" s="339"/>
      <c r="L154" s="339"/>
      <c r="O154" s="585"/>
      <c r="P154" s="585"/>
      <c r="Q154" s="585"/>
      <c r="R154" s="585"/>
      <c r="S154" s="585"/>
      <c r="T154" s="585"/>
      <c r="U154" s="585"/>
      <c r="V154" s="585"/>
      <c r="W154" s="585"/>
      <c r="X154" s="585"/>
      <c r="Y154" s="585"/>
      <c r="Z154" s="585"/>
      <c r="AA154" s="585"/>
      <c r="AB154" s="585"/>
      <c r="AC154" s="586"/>
      <c r="AD154" s="430"/>
      <c r="AE154" s="431"/>
      <c r="AF154" s="432"/>
    </row>
    <row r="155" spans="1:33" s="433" customFormat="1" ht="13.5" thickBot="1" x14ac:dyDescent="0.25">
      <c r="A155" s="409">
        <v>15</v>
      </c>
      <c r="B155" s="409">
        <v>16</v>
      </c>
      <c r="C155" s="419">
        <v>1</v>
      </c>
      <c r="D155" s="512"/>
      <c r="E155" s="447"/>
      <c r="F155" s="594">
        <f t="shared" si="17"/>
        <v>-0.25</v>
      </c>
      <c r="G155" s="490">
        <f t="shared" si="18"/>
        <v>0.56000000000000005</v>
      </c>
      <c r="H155" s="655"/>
      <c r="I155" s="339"/>
      <c r="J155" s="339"/>
      <c r="K155" s="339"/>
      <c r="L155" s="339"/>
      <c r="M155" s="383"/>
      <c r="N155" s="383"/>
      <c r="O155" s="585"/>
      <c r="P155" s="585"/>
      <c r="Q155" s="585"/>
      <c r="R155" s="585"/>
      <c r="S155" s="585"/>
      <c r="T155" s="585"/>
      <c r="U155" s="585"/>
      <c r="V155" s="585"/>
      <c r="W155" s="585"/>
      <c r="X155" s="585"/>
      <c r="Y155" s="585"/>
      <c r="Z155" s="585"/>
      <c r="AA155" s="585"/>
      <c r="AB155" s="585"/>
      <c r="AC155" s="586"/>
      <c r="AD155" s="430"/>
      <c r="AE155" s="431"/>
      <c r="AF155" s="432"/>
      <c r="AG155" s="383"/>
    </row>
    <row r="156" spans="1:33" s="383" customFormat="1" x14ac:dyDescent="0.2">
      <c r="A156" s="411">
        <v>16</v>
      </c>
      <c r="B156" s="411">
        <v>17</v>
      </c>
      <c r="C156" s="419">
        <v>1</v>
      </c>
      <c r="D156" s="512"/>
      <c r="E156" s="447"/>
      <c r="F156" s="594">
        <f>D157-0.25</f>
        <v>-0.25</v>
      </c>
      <c r="G156" s="490">
        <f t="shared" si="18"/>
        <v>0.56000000000000005</v>
      </c>
      <c r="H156" s="655"/>
      <c r="I156" s="339"/>
      <c r="J156" s="339"/>
      <c r="K156" s="339"/>
      <c r="L156" s="339"/>
      <c r="O156" s="585"/>
      <c r="P156" s="585"/>
      <c r="Q156" s="585"/>
      <c r="R156" s="585"/>
      <c r="S156" s="585"/>
      <c r="T156" s="585"/>
      <c r="U156" s="585"/>
      <c r="V156" s="585"/>
      <c r="W156" s="585"/>
      <c r="X156" s="585"/>
      <c r="Y156" s="585"/>
      <c r="Z156" s="585"/>
      <c r="AA156" s="585"/>
      <c r="AB156" s="585"/>
      <c r="AC156" s="586"/>
      <c r="AD156" s="430"/>
      <c r="AE156" s="431"/>
      <c r="AF156" s="432"/>
    </row>
    <row r="157" spans="1:33" s="339" customFormat="1" x14ac:dyDescent="0.2">
      <c r="A157" s="409">
        <v>17</v>
      </c>
      <c r="B157" s="409">
        <v>18</v>
      </c>
      <c r="C157" s="419">
        <v>1</v>
      </c>
      <c r="D157" s="512"/>
      <c r="E157" s="447"/>
      <c r="F157" s="594">
        <f t="shared" si="17"/>
        <v>-0.25</v>
      </c>
      <c r="G157" s="490">
        <f t="shared" si="18"/>
        <v>0.56000000000000005</v>
      </c>
      <c r="H157" s="655"/>
      <c r="M157" s="383"/>
      <c r="N157" s="383"/>
      <c r="O157" s="585"/>
      <c r="P157" s="585"/>
      <c r="Q157" s="585"/>
      <c r="R157" s="585"/>
      <c r="S157" s="585"/>
      <c r="T157" s="585"/>
      <c r="U157" s="585"/>
      <c r="V157" s="585"/>
      <c r="W157" s="585"/>
      <c r="X157" s="585"/>
      <c r="Y157" s="585"/>
      <c r="Z157" s="585"/>
      <c r="AA157" s="585"/>
      <c r="AB157" s="585"/>
      <c r="AC157" s="586"/>
      <c r="AD157" s="430"/>
      <c r="AE157" s="478"/>
      <c r="AF157" s="383"/>
      <c r="AG157" s="383"/>
    </row>
    <row r="158" spans="1:33" s="339" customFormat="1" x14ac:dyDescent="0.2">
      <c r="A158" s="411">
        <v>18</v>
      </c>
      <c r="B158" s="411">
        <v>19</v>
      </c>
      <c r="C158" s="419">
        <v>1</v>
      </c>
      <c r="D158" s="512"/>
      <c r="E158" s="447"/>
      <c r="F158" s="594">
        <f t="shared" si="17"/>
        <v>-0.25</v>
      </c>
      <c r="G158" s="490">
        <f t="shared" si="18"/>
        <v>0.56000000000000005</v>
      </c>
      <c r="H158" s="654"/>
      <c r="M158" s="383"/>
      <c r="N158" s="383"/>
      <c r="O158" s="589"/>
      <c r="P158" s="589"/>
      <c r="Q158" s="589"/>
      <c r="R158" s="589"/>
      <c r="S158" s="589"/>
      <c r="T158" s="589"/>
      <c r="U158" s="589"/>
      <c r="V158" s="589"/>
      <c r="W158" s="589"/>
      <c r="X158" s="589"/>
      <c r="Y158" s="589"/>
      <c r="Z158" s="589"/>
      <c r="AA158" s="589"/>
      <c r="AB158" s="589"/>
      <c r="AC158" s="584"/>
      <c r="AD158" s="383"/>
      <c r="AE158" s="383"/>
      <c r="AF158" s="383"/>
      <c r="AG158" s="383"/>
    </row>
    <row r="159" spans="1:33" s="339" customFormat="1" x14ac:dyDescent="0.2">
      <c r="A159" s="409">
        <v>19</v>
      </c>
      <c r="B159" s="409">
        <v>20</v>
      </c>
      <c r="C159" s="419">
        <v>1</v>
      </c>
      <c r="D159" s="512"/>
      <c r="E159" s="447"/>
      <c r="F159" s="594">
        <f t="shared" si="17"/>
        <v>-0.25</v>
      </c>
      <c r="G159" s="490">
        <f t="shared" si="18"/>
        <v>0.56000000000000005</v>
      </c>
      <c r="H159" s="654"/>
      <c r="M159" s="383"/>
      <c r="N159" s="383"/>
      <c r="O159" s="589"/>
      <c r="P159" s="589"/>
      <c r="Q159" s="589"/>
      <c r="R159" s="589"/>
      <c r="S159" s="589"/>
      <c r="T159" s="589"/>
      <c r="U159" s="589"/>
      <c r="V159" s="589"/>
      <c r="W159" s="589"/>
      <c r="X159" s="589"/>
      <c r="Y159" s="589"/>
      <c r="Z159" s="589"/>
      <c r="AA159" s="589"/>
      <c r="AB159" s="589"/>
      <c r="AC159" s="584"/>
      <c r="AD159" s="479"/>
      <c r="AE159" s="434"/>
      <c r="AF159" s="383"/>
      <c r="AG159" s="383"/>
    </row>
    <row r="160" spans="1:33" s="383" customFormat="1" x14ac:dyDescent="0.2">
      <c r="A160" s="411">
        <v>20</v>
      </c>
      <c r="B160" s="411">
        <v>21</v>
      </c>
      <c r="C160" s="419">
        <v>1</v>
      </c>
      <c r="D160" s="512"/>
      <c r="E160" s="447"/>
      <c r="F160" s="594">
        <f t="shared" si="17"/>
        <v>-0.25</v>
      </c>
      <c r="G160" s="490">
        <f t="shared" si="18"/>
        <v>0.56000000000000005</v>
      </c>
      <c r="H160" s="654"/>
      <c r="I160" s="339"/>
      <c r="J160" s="339"/>
      <c r="K160" s="339"/>
      <c r="L160" s="339"/>
      <c r="O160" s="589"/>
      <c r="P160" s="589"/>
      <c r="Q160" s="589"/>
      <c r="R160" s="589"/>
      <c r="S160" s="589"/>
      <c r="T160" s="589"/>
      <c r="U160" s="589"/>
      <c r="V160" s="589"/>
      <c r="W160" s="589"/>
      <c r="X160" s="589"/>
      <c r="Y160" s="589"/>
      <c r="Z160" s="589"/>
      <c r="AA160" s="589"/>
      <c r="AB160" s="589"/>
      <c r="AC160" s="584"/>
      <c r="AD160" s="434"/>
      <c r="AE160" s="434"/>
    </row>
    <row r="161" spans="1:33" s="383" customFormat="1" x14ac:dyDescent="0.2">
      <c r="A161" s="409">
        <v>21</v>
      </c>
      <c r="B161" s="409">
        <v>22</v>
      </c>
      <c r="C161" s="419">
        <v>1</v>
      </c>
      <c r="D161" s="512"/>
      <c r="E161" s="447"/>
      <c r="F161" s="594">
        <f t="shared" si="17"/>
        <v>-0.25</v>
      </c>
      <c r="G161" s="490">
        <f t="shared" si="18"/>
        <v>0.56000000000000005</v>
      </c>
      <c r="H161" s="654"/>
      <c r="I161" s="339"/>
      <c r="J161" s="402"/>
      <c r="K161" s="339"/>
      <c r="L161" s="339"/>
      <c r="O161" s="589"/>
      <c r="P161" s="589"/>
      <c r="Q161" s="589"/>
      <c r="R161" s="589"/>
      <c r="S161" s="589"/>
      <c r="T161" s="589"/>
      <c r="U161" s="589"/>
      <c r="V161" s="589"/>
      <c r="W161" s="589"/>
      <c r="X161" s="589"/>
      <c r="Y161" s="589"/>
      <c r="Z161" s="589"/>
      <c r="AA161" s="589"/>
      <c r="AB161" s="589"/>
      <c r="AC161" s="584"/>
      <c r="AD161" s="339"/>
      <c r="AE161" s="339"/>
    </row>
    <row r="162" spans="1:33" s="383" customFormat="1" x14ac:dyDescent="0.2">
      <c r="A162" s="411">
        <v>22</v>
      </c>
      <c r="B162" s="411">
        <v>23</v>
      </c>
      <c r="C162" s="419">
        <v>1</v>
      </c>
      <c r="D162" s="512"/>
      <c r="E162" s="447"/>
      <c r="F162" s="594">
        <f t="shared" si="17"/>
        <v>-0.25</v>
      </c>
      <c r="G162" s="490">
        <f t="shared" si="18"/>
        <v>0.56000000000000005</v>
      </c>
      <c r="H162" s="654"/>
      <c r="I162" s="339"/>
      <c r="J162" s="339"/>
      <c r="K162" s="339"/>
      <c r="L162" s="339"/>
      <c r="O162" s="589"/>
      <c r="P162" s="589"/>
      <c r="Q162" s="589"/>
      <c r="R162" s="589"/>
      <c r="S162" s="589"/>
      <c r="T162" s="589"/>
      <c r="U162" s="589"/>
      <c r="V162" s="589"/>
      <c r="W162" s="589"/>
      <c r="X162" s="589"/>
      <c r="Y162" s="589"/>
      <c r="Z162" s="589"/>
      <c r="AA162" s="589"/>
      <c r="AB162" s="589"/>
      <c r="AC162" s="584"/>
      <c r="AD162" s="430"/>
      <c r="AE162" s="478"/>
      <c r="AF162" s="480"/>
    </row>
    <row r="163" spans="1:33" s="383" customFormat="1" x14ac:dyDescent="0.2">
      <c r="A163" s="411">
        <v>23</v>
      </c>
      <c r="B163" s="409">
        <v>24</v>
      </c>
      <c r="C163" s="419">
        <v>1</v>
      </c>
      <c r="D163" s="512"/>
      <c r="E163" s="447"/>
      <c r="F163" s="594">
        <f t="shared" si="17"/>
        <v>-0.25</v>
      </c>
      <c r="G163" s="490">
        <f t="shared" si="18"/>
        <v>0.56000000000000005</v>
      </c>
      <c r="H163" s="399"/>
      <c r="I163" s="339"/>
      <c r="J163" s="339"/>
      <c r="K163" s="339"/>
      <c r="L163" s="339"/>
      <c r="O163" s="577"/>
      <c r="P163" s="577"/>
      <c r="Q163" s="577"/>
      <c r="R163" s="577"/>
      <c r="S163" s="577"/>
      <c r="T163" s="577"/>
      <c r="U163" s="577"/>
      <c r="V163" s="577"/>
      <c r="W163" s="577"/>
      <c r="X163" s="577"/>
      <c r="Y163" s="577"/>
      <c r="Z163" s="589"/>
      <c r="AA163" s="589"/>
      <c r="AB163" s="589"/>
      <c r="AC163" s="584"/>
      <c r="AD163" s="430"/>
      <c r="AE163" s="478"/>
      <c r="AF163" s="480"/>
    </row>
    <row r="164" spans="1:33" s="383" customFormat="1" x14ac:dyDescent="0.2">
      <c r="A164" s="508">
        <v>24</v>
      </c>
      <c r="B164" s="411">
        <v>1</v>
      </c>
      <c r="C164" s="419">
        <v>1</v>
      </c>
      <c r="D164" s="514"/>
      <c r="E164" s="444"/>
      <c r="G164" s="490">
        <f t="shared" si="18"/>
        <v>0.56000000000000005</v>
      </c>
      <c r="H164" s="399"/>
      <c r="I164" s="339"/>
      <c r="J164" s="339"/>
      <c r="K164" s="339"/>
      <c r="L164" s="339"/>
      <c r="O164" s="577"/>
      <c r="P164" s="577"/>
      <c r="Q164" s="577"/>
      <c r="R164" s="577"/>
      <c r="S164" s="577"/>
      <c r="T164" s="577"/>
      <c r="U164" s="577"/>
      <c r="V164" s="577"/>
      <c r="W164" s="577"/>
      <c r="X164" s="577"/>
      <c r="Y164" s="577"/>
      <c r="Z164" s="589"/>
      <c r="AA164" s="589"/>
      <c r="AB164" s="589"/>
      <c r="AC164" s="584"/>
      <c r="AD164" s="434"/>
      <c r="AE164" s="434"/>
      <c r="AF164" s="480"/>
    </row>
    <row r="165" spans="1:33" s="383" customFormat="1" ht="13.5" thickBot="1" x14ac:dyDescent="0.25">
      <c r="A165" s="339"/>
      <c r="B165" s="339"/>
      <c r="C165" s="339"/>
      <c r="D165" s="512"/>
      <c r="E165" s="339"/>
      <c r="F165" s="12"/>
      <c r="G165" s="409"/>
      <c r="H165" s="399"/>
      <c r="I165" s="339"/>
      <c r="J165" s="339"/>
      <c r="K165" s="339"/>
      <c r="L165" s="339"/>
      <c r="O165" s="577"/>
      <c r="P165" s="577"/>
      <c r="Q165" s="577"/>
      <c r="R165" s="577"/>
      <c r="S165" s="577"/>
      <c r="T165" s="577"/>
      <c r="U165" s="577"/>
      <c r="V165" s="577"/>
      <c r="W165" s="577"/>
      <c r="X165" s="577"/>
      <c r="Y165" s="577"/>
      <c r="Z165" s="589"/>
      <c r="AA165" s="589"/>
      <c r="AB165" s="589"/>
      <c r="AC165" s="584"/>
      <c r="AF165" s="428"/>
      <c r="AG165" s="433"/>
    </row>
    <row r="166" spans="1:33" s="383" customFormat="1" ht="18" x14ac:dyDescent="0.25">
      <c r="A166" s="408"/>
      <c r="B166" s="420" t="s">
        <v>243</v>
      </c>
      <c r="C166" s="421"/>
      <c r="D166" s="515"/>
      <c r="E166" s="421"/>
      <c r="F166" s="12"/>
      <c r="G166" s="409"/>
      <c r="H166" s="656"/>
      <c r="I166" s="339"/>
      <c r="J166" s="339"/>
      <c r="K166" s="339"/>
      <c r="L166" s="339"/>
      <c r="O166" s="12"/>
      <c r="P166" s="12"/>
      <c r="Q166" s="12"/>
      <c r="R166" s="12"/>
      <c r="S166" s="12"/>
      <c r="T166" s="12"/>
      <c r="U166" s="12"/>
      <c r="V166" s="12"/>
      <c r="W166" s="12"/>
      <c r="X166" s="12"/>
      <c r="Y166" s="577"/>
      <c r="Z166" s="589"/>
      <c r="AA166" s="589"/>
      <c r="AB166" s="589"/>
      <c r="AC166" s="584"/>
      <c r="AF166" s="428"/>
    </row>
    <row r="167" spans="1:33" s="383" customFormat="1" ht="18.75" thickBot="1" x14ac:dyDescent="0.3">
      <c r="A167" s="409"/>
      <c r="B167" s="409"/>
      <c r="C167" s="409"/>
      <c r="D167" s="516"/>
      <c r="E167" s="409"/>
      <c r="F167" s="595" t="s">
        <v>272</v>
      </c>
      <c r="G167" s="409"/>
      <c r="H167" s="656"/>
      <c r="I167" s="339"/>
      <c r="J167" s="339"/>
      <c r="K167" s="339"/>
      <c r="L167" s="339"/>
      <c r="O167" s="12"/>
      <c r="P167" s="12"/>
      <c r="Q167" s="12"/>
      <c r="R167" s="12"/>
      <c r="S167" s="12"/>
      <c r="T167" s="12"/>
      <c r="U167" s="12"/>
      <c r="V167" s="12"/>
      <c r="W167" s="12"/>
      <c r="X167" s="12"/>
      <c r="Y167" s="577"/>
      <c r="Z167" s="589"/>
      <c r="AA167" s="589"/>
      <c r="AB167" s="589"/>
      <c r="AC167" s="584"/>
      <c r="AF167" s="339"/>
      <c r="AG167" s="339"/>
    </row>
    <row r="168" spans="1:33" s="383" customFormat="1" ht="18.75" thickBot="1" x14ac:dyDescent="0.3">
      <c r="A168" s="412" t="s">
        <v>7</v>
      </c>
      <c r="B168" s="413"/>
      <c r="C168" s="413" t="s">
        <v>266</v>
      </c>
      <c r="D168" s="513"/>
      <c r="E168" s="413"/>
      <c r="F168" s="596" t="s">
        <v>320</v>
      </c>
      <c r="G168" s="414"/>
      <c r="H168" s="656" t="s">
        <v>273</v>
      </c>
      <c r="I168" s="339"/>
      <c r="J168" s="339"/>
      <c r="K168" s="339"/>
      <c r="L168" s="339"/>
      <c r="O168" s="12"/>
      <c r="P168" s="12"/>
      <c r="Q168" s="12"/>
      <c r="R168" s="12"/>
      <c r="S168" s="12"/>
      <c r="T168" s="12"/>
      <c r="U168" s="12"/>
      <c r="V168" s="12"/>
      <c r="W168" s="12"/>
      <c r="X168" s="12"/>
      <c r="Y168" s="577"/>
      <c r="Z168" s="577"/>
      <c r="AA168" s="577"/>
      <c r="AB168" s="577"/>
      <c r="AC168" s="583"/>
      <c r="AF168" s="339"/>
      <c r="AG168" s="339"/>
    </row>
    <row r="169" spans="1:33" s="383" customFormat="1" ht="18" x14ac:dyDescent="0.25">
      <c r="A169" s="417" t="s">
        <v>244</v>
      </c>
      <c r="B169" s="418" t="s">
        <v>245</v>
      </c>
      <c r="C169" s="418"/>
      <c r="D169" s="517"/>
      <c r="E169" s="415"/>
      <c r="F169" s="594">
        <f t="shared" ref="F169:F193" si="19">D170-0.25</f>
        <v>-0.25</v>
      </c>
      <c r="G169" s="409" t="s">
        <v>321</v>
      </c>
      <c r="H169" s="657">
        <v>4.3999999999999997E-2</v>
      </c>
      <c r="I169" s="21" t="s">
        <v>275</v>
      </c>
      <c r="J169" s="339"/>
      <c r="K169" s="339"/>
      <c r="L169" s="339"/>
      <c r="M169" s="12" t="s">
        <v>276</v>
      </c>
      <c r="N169" s="578"/>
      <c r="O169" s="12"/>
      <c r="P169" s="12"/>
      <c r="Q169" s="12"/>
      <c r="R169" s="12"/>
      <c r="S169" s="12"/>
      <c r="T169" s="12"/>
      <c r="U169" s="12"/>
      <c r="V169" s="12"/>
      <c r="W169" s="12"/>
      <c r="X169" s="12"/>
      <c r="Y169" s="577"/>
      <c r="Z169" s="577"/>
      <c r="AA169" s="577"/>
      <c r="AB169" s="577"/>
      <c r="AC169" s="583"/>
      <c r="AF169" s="339"/>
      <c r="AG169" s="339"/>
    </row>
    <row r="170" spans="1:33" s="383" customFormat="1" x14ac:dyDescent="0.2">
      <c r="A170" s="411">
        <v>24</v>
      </c>
      <c r="B170" s="409">
        <v>1</v>
      </c>
      <c r="C170" s="419">
        <v>1</v>
      </c>
      <c r="D170" s="512"/>
      <c r="E170" s="447"/>
      <c r="F170" s="594">
        <f t="shared" si="19"/>
        <v>-0.25</v>
      </c>
      <c r="G170" s="490">
        <f>D170+0.56</f>
        <v>0.56000000000000005</v>
      </c>
      <c r="H170" s="385"/>
      <c r="I170" s="422" t="s">
        <v>274</v>
      </c>
      <c r="J170" s="423"/>
      <c r="K170" s="339"/>
      <c r="L170" s="339"/>
      <c r="O170" s="12"/>
      <c r="P170" s="12"/>
      <c r="Q170" s="12"/>
      <c r="R170" s="12"/>
      <c r="S170" s="12"/>
      <c r="T170" s="12"/>
      <c r="U170" s="12"/>
      <c r="V170" s="12"/>
      <c r="W170" s="12"/>
      <c r="X170" s="12"/>
      <c r="Y170" s="577"/>
      <c r="Z170" s="577"/>
      <c r="AA170" s="590"/>
      <c r="AB170" s="577"/>
      <c r="AC170" s="583"/>
      <c r="AD170" s="339"/>
      <c r="AE170" s="339"/>
      <c r="AF170" s="339"/>
    </row>
    <row r="171" spans="1:33" s="383" customFormat="1" x14ac:dyDescent="0.2">
      <c r="A171" s="409">
        <v>1</v>
      </c>
      <c r="B171" s="409">
        <v>2</v>
      </c>
      <c r="C171" s="419">
        <v>1</v>
      </c>
      <c r="D171" s="518"/>
      <c r="E171" s="447"/>
      <c r="F171" s="594">
        <f t="shared" si="19"/>
        <v>-0.25</v>
      </c>
      <c r="G171" s="490">
        <f t="shared" ref="G171:G193" si="20">D171+0.56</f>
        <v>0.56000000000000005</v>
      </c>
      <c r="H171" s="385"/>
      <c r="I171" s="422"/>
      <c r="J171" s="423"/>
      <c r="K171" s="339"/>
      <c r="L171" s="339"/>
      <c r="O171" s="12"/>
      <c r="P171" s="12"/>
      <c r="Q171" s="12"/>
      <c r="R171" s="12"/>
      <c r="S171" s="12"/>
      <c r="T171" s="12"/>
      <c r="U171" s="12"/>
      <c r="V171" s="12"/>
      <c r="W171" s="12"/>
      <c r="X171" s="12"/>
      <c r="Y171" s="577"/>
      <c r="Z171" s="577"/>
      <c r="AA171" s="590"/>
      <c r="AB171" s="577"/>
      <c r="AC171" s="583"/>
      <c r="AD171" s="384"/>
      <c r="AE171" s="339"/>
      <c r="AF171" s="339"/>
    </row>
    <row r="172" spans="1:33" s="383" customFormat="1" x14ac:dyDescent="0.2">
      <c r="A172" s="411">
        <v>2</v>
      </c>
      <c r="B172" s="409">
        <v>3</v>
      </c>
      <c r="C172" s="419">
        <v>1</v>
      </c>
      <c r="D172" s="514"/>
      <c r="E172" s="447"/>
      <c r="F172" s="594">
        <f t="shared" si="19"/>
        <v>-0.25</v>
      </c>
      <c r="G172" s="490">
        <f t="shared" si="20"/>
        <v>0.56000000000000005</v>
      </c>
      <c r="H172" s="385"/>
      <c r="I172" s="422"/>
      <c r="J172" s="423"/>
      <c r="K172" s="360"/>
      <c r="L172" s="360"/>
      <c r="M172" s="578"/>
      <c r="N172" s="578"/>
      <c r="O172" s="12"/>
      <c r="P172" s="12"/>
      <c r="Q172" s="12"/>
      <c r="R172" s="12"/>
      <c r="S172" s="12"/>
      <c r="T172" s="12"/>
      <c r="U172" s="12"/>
      <c r="V172" s="12"/>
      <c r="W172" s="12"/>
      <c r="X172" s="12"/>
      <c r="Y172" s="577"/>
      <c r="Z172" s="577"/>
      <c r="AA172" s="590"/>
      <c r="AB172" s="577"/>
      <c r="AC172" s="583"/>
      <c r="AF172" s="339"/>
    </row>
    <row r="173" spans="1:33" s="383" customFormat="1" x14ac:dyDescent="0.2">
      <c r="A173" s="409">
        <v>3</v>
      </c>
      <c r="B173" s="409">
        <v>4</v>
      </c>
      <c r="C173" s="419">
        <v>1</v>
      </c>
      <c r="D173" s="514"/>
      <c r="E173" s="447"/>
      <c r="F173" s="594">
        <f t="shared" si="19"/>
        <v>-0.25</v>
      </c>
      <c r="G173" s="490">
        <f t="shared" si="20"/>
        <v>0.56000000000000005</v>
      </c>
      <c r="H173" s="385"/>
      <c r="I173" s="424"/>
      <c r="J173" s="423"/>
      <c r="K173" s="409"/>
      <c r="L173" s="409"/>
      <c r="M173" s="12"/>
      <c r="N173" s="12"/>
      <c r="O173" s="12"/>
      <c r="P173" s="12"/>
      <c r="Q173" s="12"/>
      <c r="R173" s="12"/>
      <c r="S173" s="12"/>
      <c r="T173" s="12"/>
      <c r="U173" s="12"/>
      <c r="V173" s="12"/>
      <c r="W173" s="12"/>
      <c r="X173" s="12"/>
      <c r="Y173" s="577"/>
      <c r="Z173" s="577"/>
      <c r="AA173" s="590"/>
      <c r="AB173" s="577"/>
      <c r="AC173" s="583"/>
      <c r="AD173" s="403"/>
      <c r="AE173" s="404"/>
      <c r="AF173" s="339"/>
    </row>
    <row r="174" spans="1:33" s="383" customFormat="1" x14ac:dyDescent="0.2">
      <c r="A174" s="411">
        <v>4</v>
      </c>
      <c r="B174" s="409">
        <v>5</v>
      </c>
      <c r="C174" s="419">
        <v>1</v>
      </c>
      <c r="D174" s="514"/>
      <c r="E174" s="447"/>
      <c r="F174" s="594">
        <f t="shared" si="19"/>
        <v>-0.25</v>
      </c>
      <c r="G174" s="490">
        <f t="shared" si="20"/>
        <v>0.56000000000000005</v>
      </c>
      <c r="H174" s="385"/>
      <c r="I174" s="424"/>
      <c r="J174" s="423"/>
      <c r="K174" s="409"/>
      <c r="L174" s="409"/>
      <c r="M174" s="12"/>
      <c r="N174" s="12"/>
      <c r="O174" s="12"/>
      <c r="P174" s="12"/>
      <c r="Q174" s="12"/>
      <c r="R174" s="12"/>
      <c r="S174" s="12"/>
      <c r="T174" s="12"/>
      <c r="U174" s="12"/>
      <c r="V174" s="12"/>
      <c r="W174" s="12"/>
      <c r="X174" s="12"/>
      <c r="Y174" s="577"/>
      <c r="Z174" s="577"/>
      <c r="AA174" s="590"/>
      <c r="AB174" s="577"/>
      <c r="AC174" s="583"/>
      <c r="AD174" s="384"/>
      <c r="AE174" s="339"/>
      <c r="AF174" s="339"/>
    </row>
    <row r="175" spans="1:33" s="383" customFormat="1" x14ac:dyDescent="0.2">
      <c r="A175" s="409">
        <v>5</v>
      </c>
      <c r="B175" s="409">
        <v>6</v>
      </c>
      <c r="C175" s="419">
        <v>1</v>
      </c>
      <c r="D175" s="514"/>
      <c r="E175" s="447"/>
      <c r="F175" s="594">
        <f t="shared" si="19"/>
        <v>-0.25</v>
      </c>
      <c r="G175" s="490">
        <f t="shared" si="20"/>
        <v>0.56000000000000005</v>
      </c>
      <c r="H175" s="385"/>
      <c r="I175" s="424"/>
      <c r="J175" s="423"/>
      <c r="K175" s="409"/>
      <c r="L175" s="409"/>
      <c r="M175" s="12"/>
      <c r="N175" s="12"/>
      <c r="O175" s="12"/>
      <c r="P175" s="12"/>
      <c r="Q175" s="12"/>
      <c r="R175" s="12"/>
      <c r="S175" s="12"/>
      <c r="T175" s="12"/>
      <c r="U175" s="12"/>
      <c r="V175" s="12"/>
      <c r="W175" s="12"/>
      <c r="X175" s="12"/>
      <c r="Y175" s="577"/>
      <c r="Z175" s="577"/>
      <c r="AA175" s="590"/>
      <c r="AB175" s="577"/>
      <c r="AC175" s="583"/>
      <c r="AD175" s="384"/>
      <c r="AE175" s="339"/>
      <c r="AF175" s="339"/>
    </row>
    <row r="176" spans="1:33" s="383" customFormat="1" x14ac:dyDescent="0.2">
      <c r="A176" s="411">
        <v>6</v>
      </c>
      <c r="B176" s="409">
        <v>7</v>
      </c>
      <c r="C176" s="419">
        <v>1</v>
      </c>
      <c r="D176" s="514"/>
      <c r="E176" s="447"/>
      <c r="F176" s="594">
        <f t="shared" si="19"/>
        <v>-0.25</v>
      </c>
      <c r="G176" s="490">
        <f t="shared" si="20"/>
        <v>0.56000000000000005</v>
      </c>
      <c r="H176" s="385"/>
      <c r="I176" s="424"/>
      <c r="J176" s="423"/>
      <c r="K176" s="409"/>
      <c r="L176" s="409"/>
      <c r="M176" s="12"/>
      <c r="N176" s="12"/>
      <c r="O176" s="12"/>
      <c r="P176" s="12"/>
      <c r="Q176" s="12"/>
      <c r="R176" s="12"/>
      <c r="S176" s="12"/>
      <c r="T176" s="12"/>
      <c r="U176" s="12"/>
      <c r="V176" s="12"/>
      <c r="W176" s="12"/>
      <c r="X176" s="12"/>
      <c r="Y176" s="577"/>
      <c r="Z176" s="577"/>
      <c r="AA176" s="590"/>
      <c r="AB176" s="577"/>
      <c r="AC176" s="583"/>
      <c r="AD176" s="384"/>
      <c r="AE176" s="339"/>
      <c r="AF176" s="339"/>
    </row>
    <row r="177" spans="1:32" s="383" customFormat="1" x14ac:dyDescent="0.2">
      <c r="A177" s="409">
        <v>7</v>
      </c>
      <c r="B177" s="409">
        <v>8</v>
      </c>
      <c r="C177" s="419">
        <v>1</v>
      </c>
      <c r="D177" s="514"/>
      <c r="E177" s="447"/>
      <c r="F177" s="594">
        <f t="shared" si="19"/>
        <v>-0.25</v>
      </c>
      <c r="G177" s="490">
        <f t="shared" si="20"/>
        <v>0.56000000000000005</v>
      </c>
      <c r="H177" s="385"/>
      <c r="I177" s="424"/>
      <c r="J177" s="423"/>
      <c r="K177" s="409"/>
      <c r="L177" s="409"/>
      <c r="M177" s="12"/>
      <c r="N177" s="12"/>
      <c r="O177" s="12"/>
      <c r="P177" s="12"/>
      <c r="Q177" s="12"/>
      <c r="R177" s="12"/>
      <c r="S177" s="12"/>
      <c r="T177" s="12"/>
      <c r="U177" s="12"/>
      <c r="V177" s="12"/>
      <c r="W177" s="12"/>
      <c r="X177" s="12"/>
      <c r="Y177" s="577"/>
      <c r="Z177" s="577"/>
      <c r="AA177" s="590"/>
      <c r="AB177" s="577"/>
      <c r="AC177" s="583"/>
      <c r="AD177" s="384"/>
      <c r="AE177" s="339"/>
      <c r="AF177" s="339"/>
    </row>
    <row r="178" spans="1:32" s="383" customFormat="1" x14ac:dyDescent="0.2">
      <c r="A178" s="411">
        <v>8</v>
      </c>
      <c r="B178" s="409">
        <v>9</v>
      </c>
      <c r="C178" s="419">
        <v>1</v>
      </c>
      <c r="D178" s="514"/>
      <c r="E178" s="447"/>
      <c r="F178" s="594">
        <f t="shared" si="19"/>
        <v>-0.25</v>
      </c>
      <c r="G178" s="490">
        <f t="shared" si="20"/>
        <v>0.56000000000000005</v>
      </c>
      <c r="H178" s="385"/>
      <c r="I178" s="424"/>
      <c r="J178" s="423"/>
      <c r="K178" s="409"/>
      <c r="L178" s="409"/>
      <c r="M178" s="12"/>
      <c r="N178" s="12"/>
      <c r="O178" s="12"/>
      <c r="P178" s="12"/>
      <c r="Q178" s="12"/>
      <c r="R178" s="12"/>
      <c r="S178" s="12"/>
      <c r="T178" s="12"/>
      <c r="U178" s="12"/>
      <c r="V178" s="12"/>
      <c r="W178" s="12"/>
      <c r="X178" s="12"/>
      <c r="Y178" s="577"/>
      <c r="Z178" s="577"/>
      <c r="AA178" s="590"/>
      <c r="AB178" s="577"/>
      <c r="AC178" s="583"/>
      <c r="AD178" s="376"/>
      <c r="AE178" s="377"/>
      <c r="AF178" s="384"/>
    </row>
    <row r="179" spans="1:32" s="383" customFormat="1" x14ac:dyDescent="0.2">
      <c r="A179" s="409">
        <v>9</v>
      </c>
      <c r="B179" s="409">
        <v>10</v>
      </c>
      <c r="C179" s="419">
        <v>1</v>
      </c>
      <c r="D179" s="514"/>
      <c r="E179" s="447"/>
      <c r="F179" s="594">
        <f t="shared" si="19"/>
        <v>-0.25</v>
      </c>
      <c r="G179" s="490">
        <f t="shared" si="20"/>
        <v>0.56000000000000005</v>
      </c>
      <c r="H179" s="385"/>
      <c r="I179" s="424"/>
      <c r="J179" s="423"/>
      <c r="K179" s="409"/>
      <c r="L179" s="409"/>
      <c r="M179" s="12"/>
      <c r="N179" s="12"/>
      <c r="O179" s="12"/>
      <c r="P179" s="12"/>
      <c r="Q179" s="12"/>
      <c r="R179" s="12"/>
      <c r="S179" s="12"/>
      <c r="T179" s="12"/>
      <c r="U179" s="12"/>
      <c r="V179" s="12"/>
      <c r="W179" s="12"/>
      <c r="X179" s="12"/>
      <c r="Y179" s="577"/>
      <c r="Z179" s="577"/>
      <c r="AA179" s="590"/>
      <c r="AB179" s="577"/>
      <c r="AC179" s="583"/>
      <c r="AD179" s="378"/>
      <c r="AE179" s="378"/>
      <c r="AF179" s="384"/>
    </row>
    <row r="180" spans="1:32" s="383" customFormat="1" x14ac:dyDescent="0.2">
      <c r="A180" s="411">
        <v>10</v>
      </c>
      <c r="B180" s="409">
        <v>11</v>
      </c>
      <c r="C180" s="419">
        <v>1</v>
      </c>
      <c r="D180" s="514"/>
      <c r="E180" s="447"/>
      <c r="F180" s="594">
        <f t="shared" si="19"/>
        <v>-0.25</v>
      </c>
      <c r="G180" s="490">
        <f t="shared" si="20"/>
        <v>0.56000000000000005</v>
      </c>
      <c r="H180" s="385"/>
      <c r="I180" s="424"/>
      <c r="J180" s="423"/>
      <c r="K180" s="409"/>
      <c r="L180" s="409"/>
      <c r="M180" s="12"/>
      <c r="N180" s="12"/>
      <c r="O180" s="12"/>
      <c r="P180" s="12"/>
      <c r="Q180" s="12"/>
      <c r="R180" s="12"/>
      <c r="S180" s="12"/>
      <c r="T180" s="12"/>
      <c r="U180" s="12"/>
      <c r="V180" s="12"/>
      <c r="W180" s="12"/>
      <c r="X180" s="12"/>
      <c r="Y180" s="577"/>
      <c r="Z180" s="577"/>
      <c r="AA180" s="590"/>
      <c r="AB180" s="577"/>
      <c r="AC180" s="583"/>
      <c r="AD180" s="376"/>
      <c r="AE180" s="377"/>
      <c r="AF180" s="384"/>
    </row>
    <row r="181" spans="1:32" s="383" customFormat="1" x14ac:dyDescent="0.2">
      <c r="A181" s="409">
        <v>11</v>
      </c>
      <c r="B181" s="409">
        <v>12</v>
      </c>
      <c r="C181" s="419">
        <v>1</v>
      </c>
      <c r="D181" s="514"/>
      <c r="E181" s="447"/>
      <c r="F181" s="594">
        <f t="shared" si="19"/>
        <v>-0.25</v>
      </c>
      <c r="G181" s="490">
        <f t="shared" si="20"/>
        <v>0.56000000000000005</v>
      </c>
      <c r="H181" s="385"/>
      <c r="I181" s="424"/>
      <c r="J181" s="423"/>
      <c r="K181" s="409"/>
      <c r="L181" s="409"/>
      <c r="M181" s="12"/>
      <c r="N181" s="12"/>
      <c r="O181" s="12"/>
      <c r="P181" s="12"/>
      <c r="Q181" s="12"/>
      <c r="R181" s="12"/>
      <c r="S181" s="12"/>
      <c r="T181" s="12"/>
      <c r="U181" s="12"/>
      <c r="V181" s="12"/>
      <c r="W181" s="12"/>
      <c r="X181" s="12"/>
      <c r="Y181" s="577"/>
      <c r="Z181" s="577"/>
      <c r="AA181" s="590"/>
      <c r="AB181" s="577"/>
      <c r="AC181" s="583"/>
      <c r="AD181" s="381"/>
      <c r="AE181" s="379"/>
      <c r="AF181" s="384"/>
    </row>
    <row r="182" spans="1:32" s="383" customFormat="1" x14ac:dyDescent="0.2">
      <c r="A182" s="411">
        <v>12</v>
      </c>
      <c r="B182" s="409">
        <v>13</v>
      </c>
      <c r="C182" s="419">
        <v>1</v>
      </c>
      <c r="D182" s="514"/>
      <c r="E182" s="447"/>
      <c r="F182" s="594">
        <f t="shared" si="19"/>
        <v>-0.25</v>
      </c>
      <c r="G182" s="490">
        <f t="shared" si="20"/>
        <v>0.56000000000000005</v>
      </c>
      <c r="H182" s="385"/>
      <c r="I182" s="424"/>
      <c r="J182" s="423"/>
      <c r="K182" s="409"/>
      <c r="L182" s="409"/>
      <c r="M182" s="12"/>
      <c r="N182" s="12"/>
      <c r="O182" s="12"/>
      <c r="P182" s="12"/>
      <c r="Q182" s="12"/>
      <c r="R182" s="12"/>
      <c r="S182" s="12"/>
      <c r="T182" s="12"/>
      <c r="U182" s="12"/>
      <c r="V182" s="12"/>
      <c r="W182" s="12"/>
      <c r="X182" s="12"/>
      <c r="Y182" s="577"/>
      <c r="Z182" s="577"/>
      <c r="AA182" s="590"/>
      <c r="AB182" s="577"/>
      <c r="AC182" s="583"/>
      <c r="AD182" s="381"/>
      <c r="AE182" s="379"/>
      <c r="AF182" s="384"/>
    </row>
    <row r="183" spans="1:32" s="383" customFormat="1" x14ac:dyDescent="0.2">
      <c r="A183" s="409">
        <v>13</v>
      </c>
      <c r="B183" s="409">
        <v>14</v>
      </c>
      <c r="C183" s="419">
        <v>1</v>
      </c>
      <c r="D183" s="514"/>
      <c r="E183" s="447"/>
      <c r="F183" s="594">
        <f t="shared" si="19"/>
        <v>-0.25</v>
      </c>
      <c r="G183" s="490">
        <f t="shared" si="20"/>
        <v>0.56000000000000005</v>
      </c>
      <c r="H183" s="385"/>
      <c r="I183" s="424"/>
      <c r="J183" s="423"/>
      <c r="K183" s="409"/>
      <c r="L183" s="409"/>
      <c r="M183" s="12"/>
      <c r="N183" s="12"/>
      <c r="O183" s="12"/>
      <c r="P183" s="12"/>
      <c r="Q183" s="12"/>
      <c r="R183" s="12"/>
      <c r="S183" s="12"/>
      <c r="T183" s="12"/>
      <c r="U183" s="12"/>
      <c r="V183" s="12"/>
      <c r="W183" s="12"/>
      <c r="X183" s="12"/>
      <c r="Y183" s="577"/>
      <c r="Z183" s="577"/>
      <c r="AA183" s="590"/>
      <c r="AB183" s="577"/>
      <c r="AC183" s="583"/>
      <c r="AD183" s="381"/>
      <c r="AE183" s="391"/>
      <c r="AF183" s="384"/>
    </row>
    <row r="184" spans="1:32" s="383" customFormat="1" x14ac:dyDescent="0.2">
      <c r="A184" s="411">
        <v>14</v>
      </c>
      <c r="B184" s="409">
        <v>15</v>
      </c>
      <c r="C184" s="419">
        <v>1</v>
      </c>
      <c r="D184" s="514"/>
      <c r="E184" s="447"/>
      <c r="F184" s="594">
        <f t="shared" si="19"/>
        <v>-0.25</v>
      </c>
      <c r="G184" s="490">
        <f t="shared" si="20"/>
        <v>0.56000000000000005</v>
      </c>
      <c r="H184" s="385" t="s">
        <v>170</v>
      </c>
      <c r="I184" s="424"/>
      <c r="J184" s="423"/>
      <c r="K184" s="409"/>
      <c r="L184" s="409"/>
      <c r="M184" s="12"/>
      <c r="N184" s="12"/>
      <c r="O184" s="12"/>
      <c r="P184" s="12"/>
      <c r="Q184" s="12"/>
      <c r="R184" s="12"/>
      <c r="S184" s="12"/>
      <c r="T184" s="12"/>
      <c r="U184" s="12"/>
      <c r="V184" s="12"/>
      <c r="W184" s="12"/>
      <c r="X184" s="12"/>
      <c r="Y184" s="577"/>
      <c r="Z184" s="577"/>
      <c r="AA184" s="590"/>
      <c r="AB184" s="577"/>
      <c r="AC184" s="583"/>
      <c r="AD184" s="381"/>
      <c r="AE184" s="392"/>
      <c r="AF184" s="339"/>
    </row>
    <row r="185" spans="1:32" s="383" customFormat="1" x14ac:dyDescent="0.2">
      <c r="A185" s="409">
        <v>15</v>
      </c>
      <c r="B185" s="409">
        <v>16</v>
      </c>
      <c r="C185" s="419">
        <v>1</v>
      </c>
      <c r="D185" s="514"/>
      <c r="E185" s="447"/>
      <c r="F185" s="594">
        <f t="shared" si="19"/>
        <v>-0.25</v>
      </c>
      <c r="G185" s="490">
        <f t="shared" si="20"/>
        <v>0.56000000000000005</v>
      </c>
      <c r="H185" s="385"/>
      <c r="I185" s="424"/>
      <c r="J185" s="423"/>
      <c r="K185" s="409"/>
      <c r="L185" s="409"/>
      <c r="M185" s="12"/>
      <c r="N185" s="12"/>
      <c r="O185" s="12"/>
      <c r="P185" s="12"/>
      <c r="Q185" s="12"/>
      <c r="R185" s="12"/>
      <c r="S185" s="12"/>
      <c r="T185" s="12"/>
      <c r="U185" s="12"/>
      <c r="V185" s="12"/>
      <c r="W185" s="12"/>
      <c r="X185" s="12"/>
      <c r="Y185" s="577"/>
      <c r="Z185" s="577"/>
      <c r="AA185" s="590"/>
      <c r="AB185" s="577"/>
      <c r="AC185" s="583"/>
      <c r="AD185" s="376"/>
      <c r="AE185" s="377"/>
      <c r="AF185" s="339"/>
    </row>
    <row r="186" spans="1:32" s="383" customFormat="1" x14ac:dyDescent="0.2">
      <c r="A186" s="411">
        <v>16</v>
      </c>
      <c r="B186" s="409">
        <v>17</v>
      </c>
      <c r="C186" s="419">
        <v>1</v>
      </c>
      <c r="D186" s="514"/>
      <c r="E186" s="447"/>
      <c r="F186" s="594">
        <f t="shared" si="19"/>
        <v>-0.25</v>
      </c>
      <c r="G186" s="490">
        <f t="shared" si="20"/>
        <v>0.56000000000000005</v>
      </c>
      <c r="H186" s="385"/>
      <c r="I186" s="424"/>
      <c r="J186" s="423"/>
      <c r="K186" s="409"/>
      <c r="L186" s="409"/>
      <c r="M186" s="12"/>
      <c r="N186" s="12"/>
      <c r="O186" s="12"/>
      <c r="R186" s="12"/>
      <c r="S186" s="12"/>
      <c r="T186" s="12"/>
      <c r="U186" s="12"/>
      <c r="V186" s="12"/>
      <c r="W186" s="12"/>
      <c r="X186" s="12"/>
      <c r="Y186" s="577"/>
      <c r="Z186" s="577"/>
      <c r="AA186" s="590"/>
      <c r="AB186" s="577"/>
      <c r="AC186" s="583"/>
      <c r="AD186" s="376"/>
      <c r="AE186" s="377"/>
      <c r="AF186" s="378"/>
    </row>
    <row r="187" spans="1:32" s="383" customFormat="1" x14ac:dyDescent="0.2">
      <c r="A187" s="409">
        <v>17</v>
      </c>
      <c r="B187" s="409">
        <v>18</v>
      </c>
      <c r="C187" s="419">
        <v>1</v>
      </c>
      <c r="D187" s="514"/>
      <c r="E187" s="447"/>
      <c r="F187" s="594">
        <f t="shared" si="19"/>
        <v>-0.25</v>
      </c>
      <c r="G187" s="490">
        <f t="shared" si="20"/>
        <v>0.56000000000000005</v>
      </c>
      <c r="H187" s="385"/>
      <c r="I187" s="424"/>
      <c r="J187" s="423"/>
      <c r="K187" s="409"/>
      <c r="L187" s="409"/>
      <c r="M187" s="12"/>
      <c r="N187" s="12"/>
      <c r="O187" s="12"/>
      <c r="R187" s="12"/>
      <c r="S187" s="12"/>
      <c r="T187" s="12"/>
      <c r="U187" s="12"/>
      <c r="V187" s="12"/>
      <c r="W187" s="12"/>
      <c r="X187" s="12"/>
      <c r="Y187" s="577"/>
      <c r="Z187" s="577"/>
      <c r="AA187" s="590"/>
      <c r="AB187" s="577"/>
      <c r="AC187" s="583"/>
      <c r="AD187" s="365"/>
      <c r="AE187" s="365"/>
      <c r="AF187" s="376"/>
    </row>
    <row r="188" spans="1:32" s="383" customFormat="1" x14ac:dyDescent="0.2">
      <c r="A188" s="411">
        <v>18</v>
      </c>
      <c r="B188" s="409">
        <v>19</v>
      </c>
      <c r="C188" s="419">
        <v>1</v>
      </c>
      <c r="D188" s="514"/>
      <c r="E188" s="447"/>
      <c r="F188" s="594">
        <f t="shared" si="19"/>
        <v>-0.25</v>
      </c>
      <c r="G188" s="490">
        <f t="shared" si="20"/>
        <v>0.56000000000000005</v>
      </c>
      <c r="H188" s="385"/>
      <c r="I188" s="424"/>
      <c r="J188" s="423"/>
      <c r="K188" s="409"/>
      <c r="L188" s="409"/>
      <c r="M188" s="12"/>
      <c r="N188" s="12"/>
      <c r="O188" s="12"/>
      <c r="R188" s="12"/>
      <c r="S188" s="12"/>
      <c r="T188" s="12"/>
      <c r="U188" s="12"/>
      <c r="V188" s="12"/>
      <c r="W188" s="12"/>
      <c r="X188" s="12"/>
      <c r="Y188" s="577"/>
      <c r="Z188" s="577"/>
      <c r="AA188" s="590"/>
      <c r="AB188" s="577"/>
      <c r="AC188" s="583"/>
      <c r="AD188" s="355"/>
      <c r="AE188" s="355"/>
      <c r="AF188" s="376"/>
    </row>
    <row r="189" spans="1:32" s="383" customFormat="1" x14ac:dyDescent="0.2">
      <c r="A189" s="409">
        <v>19</v>
      </c>
      <c r="B189" s="409">
        <v>20</v>
      </c>
      <c r="C189" s="419">
        <v>1</v>
      </c>
      <c r="D189" s="514"/>
      <c r="E189" s="447"/>
      <c r="F189" s="594">
        <f t="shared" si="19"/>
        <v>-0.25</v>
      </c>
      <c r="G189" s="490">
        <f t="shared" si="20"/>
        <v>0.56000000000000005</v>
      </c>
      <c r="H189" s="385"/>
      <c r="I189" s="424"/>
      <c r="J189" s="423"/>
      <c r="K189" s="409"/>
      <c r="L189" s="409"/>
      <c r="M189" s="12"/>
      <c r="N189" s="12"/>
      <c r="O189" s="12"/>
      <c r="R189" s="12"/>
      <c r="S189" s="12"/>
      <c r="T189" s="12"/>
      <c r="U189" s="12"/>
      <c r="V189" s="12"/>
      <c r="W189" s="12"/>
      <c r="X189" s="12"/>
      <c r="Y189" s="577"/>
      <c r="Z189" s="577"/>
      <c r="AA189" s="590"/>
      <c r="AB189" s="577"/>
      <c r="AC189" s="583"/>
      <c r="AD189" s="366"/>
      <c r="AE189" s="366"/>
      <c r="AF189" s="374"/>
    </row>
    <row r="190" spans="1:32" s="383" customFormat="1" x14ac:dyDescent="0.2">
      <c r="A190" s="411">
        <v>20</v>
      </c>
      <c r="B190" s="409">
        <v>21</v>
      </c>
      <c r="C190" s="419">
        <v>1</v>
      </c>
      <c r="D190" s="514"/>
      <c r="E190" s="447"/>
      <c r="F190" s="594">
        <f t="shared" si="19"/>
        <v>-0.25</v>
      </c>
      <c r="G190" s="490">
        <f t="shared" si="20"/>
        <v>0.56000000000000005</v>
      </c>
      <c r="H190" s="385"/>
      <c r="I190" s="424"/>
      <c r="J190" s="423"/>
      <c r="K190" s="409"/>
      <c r="L190" s="409"/>
      <c r="M190" s="12"/>
      <c r="N190" s="12"/>
      <c r="O190" s="12"/>
      <c r="R190" s="12"/>
      <c r="S190" s="12"/>
      <c r="T190" s="12"/>
      <c r="U190" s="12"/>
      <c r="V190" s="12"/>
      <c r="W190" s="12"/>
      <c r="X190" s="12"/>
      <c r="Y190" s="577"/>
      <c r="Z190" s="577"/>
      <c r="AA190" s="590"/>
      <c r="AB190" s="577"/>
      <c r="AC190" s="583"/>
      <c r="AD190" s="366"/>
      <c r="AE190" s="366"/>
      <c r="AF190" s="353"/>
    </row>
    <row r="191" spans="1:32" s="383" customFormat="1" x14ac:dyDescent="0.2">
      <c r="A191" s="409">
        <v>21</v>
      </c>
      <c r="B191" s="409">
        <v>22</v>
      </c>
      <c r="C191" s="419">
        <v>1</v>
      </c>
      <c r="D191" s="514"/>
      <c r="E191" s="447"/>
      <c r="F191" s="594">
        <f t="shared" si="19"/>
        <v>-0.25</v>
      </c>
      <c r="G191" s="490">
        <f t="shared" si="20"/>
        <v>0.56000000000000005</v>
      </c>
      <c r="H191" s="385"/>
      <c r="I191" s="424"/>
      <c r="J191" s="423"/>
      <c r="K191" s="409"/>
      <c r="L191" s="409"/>
      <c r="M191" s="12"/>
      <c r="N191" s="12"/>
      <c r="O191" s="12"/>
      <c r="R191" s="12"/>
      <c r="S191" s="12"/>
      <c r="T191" s="12"/>
      <c r="U191" s="12"/>
      <c r="V191" s="12"/>
      <c r="W191" s="12"/>
      <c r="X191" s="12"/>
      <c r="Y191" s="577"/>
      <c r="Z191" s="577"/>
      <c r="AA191" s="590"/>
      <c r="AB191" s="577"/>
      <c r="AC191" s="583"/>
      <c r="AD191" s="355"/>
      <c r="AE191" s="355"/>
      <c r="AF191" s="353"/>
    </row>
    <row r="192" spans="1:32" s="383" customFormat="1" x14ac:dyDescent="0.2">
      <c r="A192" s="411">
        <v>22</v>
      </c>
      <c r="B192" s="409">
        <v>23</v>
      </c>
      <c r="C192" s="419">
        <v>1</v>
      </c>
      <c r="D192" s="514"/>
      <c r="E192" s="447"/>
      <c r="F192" s="594">
        <f t="shared" si="19"/>
        <v>-0.25</v>
      </c>
      <c r="G192" s="490">
        <f t="shared" si="20"/>
        <v>0.56000000000000005</v>
      </c>
      <c r="H192" s="385"/>
      <c r="I192" s="424"/>
      <c r="J192" s="423"/>
      <c r="K192" s="409"/>
      <c r="L192" s="409"/>
      <c r="M192" s="12"/>
      <c r="N192" s="12"/>
      <c r="O192" s="12"/>
      <c r="R192" s="12"/>
      <c r="S192" s="12"/>
      <c r="T192" s="12"/>
      <c r="U192" s="12"/>
      <c r="V192" s="12"/>
      <c r="W192" s="12"/>
      <c r="X192" s="12"/>
      <c r="Y192" s="577"/>
      <c r="Z192" s="577"/>
      <c r="AA192" s="590"/>
      <c r="AB192" s="577"/>
      <c r="AC192" s="583"/>
      <c r="AD192" s="355"/>
      <c r="AE192" s="355"/>
      <c r="AF192" s="353"/>
    </row>
    <row r="193" spans="1:32" s="383" customFormat="1" x14ac:dyDescent="0.2">
      <c r="A193" s="411">
        <v>23</v>
      </c>
      <c r="B193" s="409">
        <v>24</v>
      </c>
      <c r="C193" s="419">
        <v>1</v>
      </c>
      <c r="D193" s="514"/>
      <c r="E193" s="447"/>
      <c r="F193" s="594">
        <f t="shared" si="19"/>
        <v>-0.25</v>
      </c>
      <c r="G193" s="490">
        <f t="shared" si="20"/>
        <v>0.56000000000000005</v>
      </c>
      <c r="H193" s="385"/>
      <c r="I193" s="424"/>
      <c r="J193" s="423"/>
      <c r="K193" s="409"/>
      <c r="L193" s="409"/>
      <c r="M193" s="12"/>
      <c r="N193" s="12"/>
      <c r="O193" s="12"/>
      <c r="R193" s="12"/>
      <c r="S193" s="12"/>
      <c r="T193" s="12"/>
      <c r="U193" s="12"/>
      <c r="V193" s="12"/>
      <c r="W193" s="12"/>
      <c r="X193" s="12"/>
      <c r="Y193" s="577"/>
      <c r="Z193" s="577"/>
      <c r="AA193" s="590"/>
      <c r="AB193" s="577"/>
      <c r="AC193" s="583"/>
      <c r="AD193" s="367"/>
      <c r="AE193" s="367"/>
      <c r="AF193" s="358"/>
    </row>
    <row r="194" spans="1:32" s="383" customFormat="1" x14ac:dyDescent="0.2">
      <c r="A194" s="355">
        <v>24</v>
      </c>
      <c r="B194" s="409">
        <v>1</v>
      </c>
      <c r="C194" s="419">
        <v>1</v>
      </c>
      <c r="D194" s="514"/>
      <c r="E194" s="444"/>
      <c r="F194" s="577"/>
      <c r="G194" s="490">
        <f>D194+0.56</f>
        <v>0.56000000000000005</v>
      </c>
      <c r="H194" s="658"/>
      <c r="I194" s="424"/>
      <c r="J194" s="423"/>
      <c r="K194" s="409"/>
      <c r="L194" s="409"/>
      <c r="M194" s="12"/>
      <c r="N194" s="12"/>
      <c r="O194" s="12"/>
      <c r="R194" s="12"/>
      <c r="S194" s="12"/>
      <c r="T194" s="12"/>
      <c r="U194" s="12"/>
      <c r="V194" s="12"/>
      <c r="W194" s="12"/>
      <c r="X194" s="12"/>
      <c r="Y194" s="577"/>
      <c r="Z194" s="577"/>
      <c r="AA194" s="577"/>
      <c r="AB194" s="577"/>
      <c r="AC194" s="583"/>
      <c r="AD194" s="368"/>
      <c r="AE194" s="368"/>
      <c r="AF194" s="358"/>
    </row>
    <row r="195" spans="1:32" s="383" customFormat="1" x14ac:dyDescent="0.2">
      <c r="A195" s="355"/>
      <c r="B195" s="355"/>
      <c r="C195" s="355"/>
      <c r="D195" s="510"/>
      <c r="E195" s="446"/>
      <c r="F195" s="577"/>
      <c r="G195" s="355"/>
      <c r="H195" s="659"/>
      <c r="I195" s="355"/>
      <c r="J195" s="355"/>
      <c r="K195" s="355"/>
      <c r="L195" s="355"/>
      <c r="M195" s="577"/>
      <c r="N195" s="577"/>
      <c r="O195" s="577"/>
      <c r="R195" s="577"/>
      <c r="S195" s="577"/>
      <c r="T195" s="577"/>
      <c r="U195" s="577"/>
      <c r="V195" s="577"/>
      <c r="W195" s="577"/>
      <c r="X195" s="577"/>
      <c r="Y195" s="577"/>
      <c r="Z195" s="577"/>
      <c r="AA195" s="577"/>
      <c r="AB195" s="577"/>
      <c r="AC195" s="583"/>
      <c r="AD195" s="368"/>
      <c r="AE195" s="368"/>
      <c r="AF195" s="358"/>
    </row>
    <row r="196" spans="1:32" s="383" customFormat="1" x14ac:dyDescent="0.2">
      <c r="A196" s="355"/>
      <c r="B196" s="355"/>
      <c r="C196" s="355"/>
      <c r="D196" s="355"/>
      <c r="E196" s="355"/>
      <c r="F196" s="577"/>
      <c r="G196" s="355"/>
      <c r="H196" s="399"/>
      <c r="I196" s="355"/>
      <c r="J196" s="355"/>
      <c r="K196" s="355"/>
      <c r="L196" s="355"/>
      <c r="M196" s="577"/>
      <c r="N196" s="577"/>
      <c r="O196" s="577"/>
      <c r="R196" s="577"/>
      <c r="S196" s="577"/>
      <c r="T196" s="577"/>
      <c r="U196" s="577"/>
      <c r="V196" s="577"/>
      <c r="W196" s="577"/>
      <c r="X196" s="577"/>
      <c r="Y196" s="577"/>
      <c r="Z196" s="577"/>
      <c r="AA196" s="577"/>
      <c r="AB196" s="577"/>
      <c r="AC196" s="583"/>
      <c r="AD196" s="368"/>
      <c r="AE196" s="368"/>
      <c r="AF196" s="363"/>
    </row>
    <row r="197" spans="1:32" s="383" customFormat="1" x14ac:dyDescent="0.2">
      <c r="A197" s="355"/>
      <c r="B197" s="355"/>
      <c r="C197" s="355"/>
      <c r="D197" s="355"/>
      <c r="E197" s="355"/>
      <c r="F197" s="577"/>
      <c r="G197" s="355"/>
      <c r="H197" s="399"/>
      <c r="I197" s="355"/>
      <c r="J197" s="355"/>
      <c r="K197" s="355"/>
      <c r="L197" s="355"/>
      <c r="M197" s="577"/>
      <c r="N197" s="577"/>
      <c r="O197" s="577"/>
      <c r="R197" s="577"/>
      <c r="S197" s="577"/>
      <c r="T197" s="577"/>
      <c r="U197" s="577"/>
      <c r="V197" s="577"/>
      <c r="W197" s="577"/>
      <c r="X197" s="577"/>
      <c r="Y197" s="577"/>
      <c r="Z197" s="577"/>
      <c r="AA197" s="577"/>
      <c r="AB197" s="577"/>
      <c r="AC197" s="583"/>
      <c r="AD197" s="368"/>
      <c r="AE197" s="368"/>
      <c r="AF197" s="365"/>
    </row>
    <row r="198" spans="1:32" s="383" customFormat="1" x14ac:dyDescent="0.2">
      <c r="A198" s="355"/>
      <c r="B198" s="355"/>
      <c r="C198" s="355"/>
      <c r="D198" s="355"/>
      <c r="E198" s="355"/>
      <c r="F198" s="577"/>
      <c r="G198" s="355"/>
      <c r="H198" s="399"/>
      <c r="I198" s="355"/>
      <c r="J198" s="355"/>
      <c r="K198" s="355"/>
      <c r="L198" s="355"/>
      <c r="M198" s="577"/>
      <c r="N198" s="577"/>
      <c r="O198" s="577"/>
      <c r="R198" s="577"/>
      <c r="S198" s="577"/>
      <c r="T198" s="577"/>
      <c r="U198" s="577"/>
      <c r="V198" s="577"/>
      <c r="W198" s="577"/>
      <c r="X198" s="577"/>
      <c r="Y198" s="577"/>
      <c r="Z198" s="577"/>
      <c r="AA198" s="577"/>
      <c r="AB198" s="577"/>
      <c r="AC198" s="583"/>
      <c r="AD198" s="368"/>
      <c r="AE198" s="368"/>
      <c r="AF198" s="355"/>
    </row>
    <row r="199" spans="1:32" s="383" customFormat="1" x14ac:dyDescent="0.2">
      <c r="A199" s="355"/>
      <c r="B199" s="355"/>
      <c r="C199" s="355"/>
      <c r="D199" s="355"/>
      <c r="E199" s="355"/>
      <c r="F199" s="577"/>
      <c r="G199" s="355"/>
      <c r="H199" s="399"/>
      <c r="I199" s="355"/>
      <c r="J199" s="355"/>
      <c r="K199" s="355"/>
      <c r="L199" s="355"/>
      <c r="M199" s="577"/>
      <c r="N199" s="577"/>
      <c r="O199" s="577"/>
      <c r="R199" s="577"/>
      <c r="S199" s="577"/>
      <c r="T199" s="577"/>
      <c r="U199" s="577"/>
      <c r="V199" s="577"/>
      <c r="W199" s="577"/>
      <c r="X199" s="577"/>
      <c r="Y199" s="577"/>
      <c r="Z199" s="577"/>
      <c r="AA199" s="577"/>
      <c r="AB199" s="577"/>
      <c r="AC199" s="583"/>
      <c r="AD199" s="368"/>
      <c r="AE199" s="368"/>
      <c r="AF199" s="366"/>
    </row>
    <row r="200" spans="1:32" s="383" customFormat="1" x14ac:dyDescent="0.2">
      <c r="A200" s="355"/>
      <c r="B200" s="355"/>
      <c r="C200" s="355"/>
      <c r="D200" s="355"/>
      <c r="E200" s="355"/>
      <c r="F200" s="577"/>
      <c r="G200" s="355"/>
      <c r="H200" s="399"/>
      <c r="I200" s="355"/>
      <c r="L200" s="355"/>
      <c r="M200" s="577"/>
      <c r="N200" s="577"/>
      <c r="O200" s="577"/>
      <c r="R200" s="577"/>
      <c r="S200" s="577"/>
      <c r="T200" s="577"/>
      <c r="U200" s="577"/>
      <c r="V200" s="577"/>
      <c r="W200" s="577"/>
      <c r="X200" s="577"/>
      <c r="Y200" s="577"/>
      <c r="Z200" s="577"/>
      <c r="AA200" s="577"/>
      <c r="AB200" s="577"/>
      <c r="AC200" s="583"/>
      <c r="AD200" s="368"/>
      <c r="AE200" s="368"/>
      <c r="AF200" s="366"/>
    </row>
    <row r="201" spans="1:32" s="383" customFormat="1" x14ac:dyDescent="0.2">
      <c r="A201" s="355"/>
      <c r="B201" s="355"/>
      <c r="C201" s="355"/>
      <c r="D201" s="355"/>
      <c r="E201" s="355"/>
      <c r="F201" s="577"/>
      <c r="G201" s="355"/>
      <c r="H201" s="399"/>
      <c r="I201" s="355"/>
      <c r="L201" s="355"/>
      <c r="M201" s="577"/>
      <c r="N201" s="577"/>
      <c r="O201" s="577"/>
      <c r="R201" s="577"/>
      <c r="S201" s="577"/>
      <c r="T201" s="577"/>
      <c r="U201" s="577"/>
      <c r="V201" s="577"/>
      <c r="W201" s="577"/>
      <c r="X201" s="577"/>
      <c r="Y201" s="577"/>
      <c r="Z201" s="577"/>
      <c r="AA201" s="577"/>
      <c r="AB201" s="577"/>
      <c r="AC201" s="583"/>
      <c r="AD201" s="367"/>
      <c r="AE201" s="367"/>
      <c r="AF201" s="355"/>
    </row>
    <row r="202" spans="1:32" s="383" customFormat="1" x14ac:dyDescent="0.2">
      <c r="A202" s="355"/>
      <c r="B202" s="355"/>
      <c r="C202" s="355"/>
      <c r="D202" s="355"/>
      <c r="E202" s="355"/>
      <c r="F202" s="577"/>
      <c r="G202" s="355"/>
      <c r="H202" s="399"/>
      <c r="I202" s="355"/>
      <c r="L202" s="355"/>
      <c r="M202" s="577"/>
      <c r="N202" s="577"/>
      <c r="O202" s="577"/>
      <c r="R202" s="577"/>
      <c r="S202" s="577"/>
      <c r="T202" s="577"/>
      <c r="U202" s="577"/>
      <c r="V202" s="577"/>
      <c r="W202" s="577"/>
      <c r="X202" s="577"/>
      <c r="Y202" s="577"/>
      <c r="Z202" s="577"/>
      <c r="AA202" s="577"/>
      <c r="AB202" s="577"/>
      <c r="AC202" s="583"/>
      <c r="AD202" s="367"/>
      <c r="AE202" s="367"/>
      <c r="AF202" s="367"/>
    </row>
    <row r="203" spans="1:32" s="383" customFormat="1" x14ac:dyDescent="0.2">
      <c r="A203" s="355"/>
      <c r="B203" s="355"/>
      <c r="C203" s="355"/>
      <c r="D203" s="355"/>
      <c r="E203" s="355"/>
      <c r="F203" s="577"/>
      <c r="G203" s="355"/>
      <c r="H203" s="399"/>
      <c r="I203" s="355"/>
      <c r="L203" s="355"/>
      <c r="M203" s="577"/>
      <c r="N203" s="577"/>
      <c r="O203" s="577"/>
      <c r="R203" s="577"/>
      <c r="S203" s="577"/>
      <c r="T203" s="577"/>
      <c r="U203" s="577"/>
      <c r="V203" s="577"/>
      <c r="W203" s="577"/>
      <c r="X203" s="577"/>
      <c r="Y203" s="577"/>
      <c r="Z203" s="577"/>
      <c r="AA203" s="577"/>
      <c r="AB203" s="577"/>
      <c r="AC203" s="583"/>
      <c r="AD203" s="367"/>
      <c r="AE203" s="367"/>
      <c r="AF203" s="368"/>
    </row>
    <row r="204" spans="1:32" s="383" customFormat="1" x14ac:dyDescent="0.2">
      <c r="A204" s="355"/>
      <c r="B204" s="355"/>
      <c r="C204" s="355"/>
      <c r="D204" s="355"/>
      <c r="E204" s="355"/>
      <c r="F204" s="577"/>
      <c r="G204" s="355"/>
      <c r="H204" s="399"/>
      <c r="I204" s="355"/>
      <c r="L204" s="355"/>
      <c r="M204" s="577"/>
      <c r="N204" s="577"/>
      <c r="O204" s="577"/>
      <c r="R204" s="577"/>
      <c r="S204" s="577"/>
      <c r="T204" s="577"/>
      <c r="U204" s="577"/>
      <c r="V204" s="577"/>
      <c r="W204" s="577"/>
      <c r="X204" s="577"/>
      <c r="Y204" s="577"/>
      <c r="Z204" s="577"/>
      <c r="AA204" s="577"/>
      <c r="AB204" s="577"/>
      <c r="AC204" s="583"/>
      <c r="AD204" s="367"/>
      <c r="AE204" s="367"/>
      <c r="AF204" s="368"/>
    </row>
    <row r="205" spans="1:32" s="383" customFormat="1" x14ac:dyDescent="0.2">
      <c r="A205" s="355"/>
      <c r="B205" s="355"/>
      <c r="C205" s="355"/>
      <c r="D205" s="355"/>
      <c r="E205" s="355"/>
      <c r="F205" s="577"/>
      <c r="G205" s="355"/>
      <c r="H205" s="399"/>
      <c r="I205" s="355"/>
      <c r="L205" s="355"/>
      <c r="M205" s="577"/>
      <c r="N205" s="577"/>
      <c r="O205" s="577"/>
      <c r="R205" s="577"/>
      <c r="S205" s="577"/>
      <c r="T205" s="577"/>
      <c r="U205" s="577"/>
      <c r="V205" s="577"/>
      <c r="W205" s="577"/>
      <c r="X205" s="577"/>
      <c r="Y205" s="577"/>
      <c r="Z205" s="577"/>
      <c r="AA205" s="577"/>
      <c r="AB205" s="577"/>
      <c r="AC205" s="583"/>
      <c r="AD205" s="367"/>
      <c r="AE205" s="367"/>
      <c r="AF205" s="368"/>
    </row>
    <row r="206" spans="1:32" s="383" customFormat="1" x14ac:dyDescent="0.2">
      <c r="A206" s="355"/>
      <c r="B206" s="355"/>
      <c r="C206" s="355"/>
      <c r="D206" s="355"/>
      <c r="E206" s="355"/>
      <c r="F206" s="577"/>
      <c r="G206" s="355"/>
      <c r="H206" s="399"/>
      <c r="I206" s="355"/>
      <c r="L206" s="355"/>
      <c r="M206" s="577"/>
      <c r="N206" s="577"/>
      <c r="O206" s="577"/>
      <c r="R206" s="577"/>
      <c r="S206" s="577"/>
      <c r="T206" s="577"/>
      <c r="U206" s="577"/>
      <c r="V206" s="577"/>
      <c r="W206" s="577"/>
      <c r="X206" s="577"/>
      <c r="Y206" s="577"/>
      <c r="Z206" s="577"/>
      <c r="AA206" s="577"/>
      <c r="AB206" s="577"/>
      <c r="AC206" s="583"/>
      <c r="AD206" s="367"/>
      <c r="AE206" s="355"/>
      <c r="AF206" s="368"/>
    </row>
    <row r="207" spans="1:32" s="383" customFormat="1" x14ac:dyDescent="0.2">
      <c r="A207" s="355"/>
      <c r="B207" s="355"/>
      <c r="C207" s="355"/>
      <c r="D207" s="355"/>
      <c r="E207" s="355"/>
      <c r="F207" s="577"/>
      <c r="G207" s="355"/>
      <c r="H207" s="399"/>
      <c r="I207" s="355"/>
      <c r="L207" s="355"/>
      <c r="M207" s="577"/>
      <c r="N207" s="577"/>
      <c r="O207" s="577"/>
      <c r="R207" s="577"/>
      <c r="S207" s="577"/>
      <c r="T207" s="577"/>
      <c r="U207" s="577"/>
      <c r="V207" s="577"/>
      <c r="W207" s="577"/>
      <c r="X207" s="577"/>
      <c r="Y207" s="577"/>
      <c r="Z207" s="577"/>
      <c r="AA207" s="577"/>
      <c r="AB207" s="577"/>
      <c r="AC207" s="583"/>
      <c r="AD207" s="367"/>
      <c r="AE207" s="355"/>
      <c r="AF207" s="368"/>
    </row>
    <row r="208" spans="1:32" s="383" customFormat="1" x14ac:dyDescent="0.2">
      <c r="A208" s="355"/>
      <c r="B208" s="355"/>
      <c r="C208" s="355"/>
      <c r="D208" s="355"/>
      <c r="E208" s="355"/>
      <c r="F208" s="577"/>
      <c r="G208" s="355"/>
      <c r="H208" s="399"/>
      <c r="I208" s="355"/>
      <c r="L208" s="355"/>
      <c r="M208" s="577"/>
      <c r="N208" s="577"/>
      <c r="O208" s="577"/>
      <c r="R208" s="577"/>
      <c r="S208" s="577"/>
      <c r="T208" s="577"/>
      <c r="U208" s="577"/>
      <c r="V208" s="577"/>
      <c r="W208" s="577"/>
      <c r="X208" s="577"/>
      <c r="Y208" s="577"/>
      <c r="Z208" s="577"/>
      <c r="AA208" s="577"/>
      <c r="AB208" s="577"/>
      <c r="AC208" s="583"/>
      <c r="AD208" s="367"/>
      <c r="AE208" s="355"/>
      <c r="AF208" s="368"/>
    </row>
    <row r="209" spans="1:32" s="383" customFormat="1" x14ac:dyDescent="0.2">
      <c r="A209" s="355"/>
      <c r="B209" s="355"/>
      <c r="C209" s="355"/>
      <c r="D209" s="355"/>
      <c r="E209" s="355"/>
      <c r="F209" s="577"/>
      <c r="G209" s="355"/>
      <c r="H209" s="399"/>
      <c r="I209" s="355"/>
      <c r="L209" s="355"/>
      <c r="M209" s="577"/>
      <c r="N209" s="577"/>
      <c r="O209" s="577"/>
      <c r="R209" s="577"/>
      <c r="S209" s="577"/>
      <c r="T209" s="577"/>
      <c r="U209" s="577"/>
      <c r="V209" s="577"/>
      <c r="W209" s="577"/>
      <c r="X209" s="577"/>
      <c r="Y209" s="577"/>
      <c r="Z209" s="577"/>
      <c r="AA209" s="577"/>
      <c r="AB209" s="577"/>
      <c r="AC209" s="583"/>
      <c r="AD209" s="367"/>
      <c r="AE209" s="355"/>
      <c r="AF209" s="368"/>
    </row>
    <row r="210" spans="1:32" s="383" customFormat="1" x14ac:dyDescent="0.2">
      <c r="A210" s="355"/>
      <c r="B210" s="355"/>
      <c r="C210" s="355"/>
      <c r="D210" s="355"/>
      <c r="E210" s="355"/>
      <c r="F210" s="577"/>
      <c r="G210" s="355"/>
      <c r="H210" s="399"/>
      <c r="I210" s="355"/>
      <c r="L210" s="355"/>
      <c r="M210" s="577"/>
      <c r="N210" s="577"/>
      <c r="O210" s="577"/>
      <c r="P210" s="577"/>
      <c r="Q210" s="577"/>
      <c r="R210" s="577"/>
      <c r="S210" s="577"/>
      <c r="T210" s="577"/>
      <c r="U210" s="577"/>
      <c r="V210" s="577"/>
      <c r="W210" s="577"/>
      <c r="X210" s="577"/>
      <c r="Y210" s="577"/>
      <c r="Z210" s="577"/>
      <c r="AA210" s="577"/>
      <c r="AB210" s="577"/>
      <c r="AC210" s="583"/>
      <c r="AD210" s="367"/>
      <c r="AE210" s="355"/>
      <c r="AF210" s="370"/>
    </row>
    <row r="211" spans="1:32" s="383" customFormat="1" x14ac:dyDescent="0.2">
      <c r="A211" s="355"/>
      <c r="B211" s="355"/>
      <c r="C211" s="355"/>
      <c r="D211" s="355"/>
      <c r="E211" s="355"/>
      <c r="F211" s="577"/>
      <c r="G211" s="355"/>
      <c r="H211" s="399"/>
      <c r="I211" s="355"/>
      <c r="L211" s="355"/>
      <c r="M211" s="577"/>
      <c r="N211" s="577"/>
      <c r="O211" s="577"/>
      <c r="P211" s="577"/>
      <c r="Q211" s="577"/>
      <c r="R211" s="577"/>
      <c r="S211" s="577"/>
      <c r="T211" s="577"/>
      <c r="U211" s="577"/>
      <c r="V211" s="577"/>
      <c r="W211" s="577"/>
      <c r="X211" s="577"/>
      <c r="Y211" s="577"/>
      <c r="Z211" s="577"/>
      <c r="AA211" s="577"/>
      <c r="AB211" s="577"/>
      <c r="AC211" s="583"/>
      <c r="AD211" s="355"/>
      <c r="AE211" s="355"/>
      <c r="AF211" s="367"/>
    </row>
    <row r="212" spans="1:32" s="383" customFormat="1" x14ac:dyDescent="0.2">
      <c r="A212" s="355"/>
      <c r="B212" s="355"/>
      <c r="C212" s="355"/>
      <c r="D212" s="355"/>
      <c r="E212" s="355"/>
      <c r="F212" s="577"/>
      <c r="G212" s="355"/>
      <c r="H212" s="399"/>
      <c r="I212" s="355"/>
      <c r="L212" s="355"/>
      <c r="M212" s="577"/>
      <c r="N212" s="577"/>
      <c r="O212" s="577"/>
      <c r="P212" s="577"/>
      <c r="Q212" s="577"/>
      <c r="R212" s="577"/>
      <c r="S212" s="577"/>
      <c r="T212" s="577"/>
      <c r="U212" s="577"/>
      <c r="V212" s="577"/>
      <c r="W212" s="577"/>
      <c r="X212" s="577"/>
      <c r="Y212" s="577"/>
      <c r="Z212" s="577"/>
      <c r="AA212" s="577"/>
      <c r="AB212" s="577"/>
      <c r="AC212" s="583"/>
      <c r="AD212" s="355"/>
      <c r="AE212" s="355"/>
      <c r="AF212" s="367"/>
    </row>
    <row r="213" spans="1:32" s="383" customFormat="1" x14ac:dyDescent="0.2">
      <c r="A213" s="355"/>
      <c r="B213" s="355"/>
      <c r="C213" s="355"/>
      <c r="D213" s="355"/>
      <c r="E213" s="355"/>
      <c r="F213" s="577"/>
      <c r="G213" s="355"/>
      <c r="H213" s="399"/>
      <c r="I213" s="355"/>
      <c r="L213" s="355"/>
      <c r="M213" s="577"/>
      <c r="N213" s="577"/>
      <c r="O213" s="577"/>
      <c r="P213" s="577"/>
      <c r="Q213" s="577"/>
      <c r="R213" s="577"/>
      <c r="S213" s="577"/>
      <c r="T213" s="577"/>
      <c r="U213" s="577"/>
      <c r="V213" s="577"/>
      <c r="W213" s="577"/>
      <c r="X213" s="577"/>
      <c r="Y213" s="577"/>
      <c r="Z213" s="577"/>
      <c r="AA213" s="577"/>
      <c r="AB213" s="577"/>
      <c r="AC213" s="583"/>
      <c r="AD213" s="355"/>
      <c r="AE213" s="355"/>
      <c r="AF213" s="367"/>
    </row>
    <row r="214" spans="1:32" s="383" customFormat="1" x14ac:dyDescent="0.2">
      <c r="A214" s="355"/>
      <c r="B214" s="355"/>
      <c r="C214" s="355"/>
      <c r="D214" s="355"/>
      <c r="E214" s="355"/>
      <c r="F214" s="577"/>
      <c r="G214" s="355"/>
      <c r="H214" s="399"/>
      <c r="I214" s="355"/>
      <c r="L214" s="355"/>
      <c r="M214" s="577"/>
      <c r="N214" s="577"/>
      <c r="O214" s="577"/>
      <c r="P214" s="577"/>
      <c r="Q214" s="577"/>
      <c r="R214" s="577"/>
      <c r="S214" s="577"/>
      <c r="T214" s="577"/>
      <c r="U214" s="577"/>
      <c r="V214" s="577"/>
      <c r="W214" s="577"/>
      <c r="X214" s="577"/>
      <c r="Y214" s="577"/>
      <c r="Z214" s="577"/>
      <c r="AA214" s="577"/>
      <c r="AB214" s="577"/>
      <c r="AC214" s="583"/>
      <c r="AD214" s="355"/>
      <c r="AE214" s="355"/>
      <c r="AF214" s="367"/>
    </row>
    <row r="215" spans="1:32" s="383" customFormat="1" x14ac:dyDescent="0.2">
      <c r="A215" s="355"/>
      <c r="B215" s="355"/>
      <c r="C215" s="355"/>
      <c r="D215" s="355"/>
      <c r="E215" s="355"/>
      <c r="F215" s="577"/>
      <c r="G215" s="355"/>
      <c r="H215" s="399"/>
      <c r="I215" s="355"/>
      <c r="L215" s="355"/>
      <c r="M215" s="577"/>
      <c r="N215" s="577"/>
      <c r="O215" s="577"/>
      <c r="P215" s="577"/>
      <c r="Q215" s="577"/>
      <c r="R215" s="577"/>
      <c r="S215" s="577"/>
      <c r="T215" s="577"/>
      <c r="U215" s="577"/>
      <c r="V215" s="577"/>
      <c r="W215" s="577"/>
      <c r="X215" s="577"/>
      <c r="Y215" s="577"/>
      <c r="Z215" s="577"/>
      <c r="AA215" s="577"/>
      <c r="AB215" s="577"/>
      <c r="AC215" s="583"/>
      <c r="AD215" s="355"/>
      <c r="AE215" s="355"/>
      <c r="AF215" s="371"/>
    </row>
    <row r="216" spans="1:32" s="383" customFormat="1" x14ac:dyDescent="0.2">
      <c r="A216" s="355"/>
      <c r="B216" s="355"/>
      <c r="C216" s="355"/>
      <c r="D216" s="355"/>
      <c r="E216" s="355"/>
      <c r="F216" s="577"/>
      <c r="G216" s="355"/>
      <c r="H216" s="399"/>
      <c r="I216" s="355"/>
      <c r="L216" s="355"/>
      <c r="M216" s="577"/>
      <c r="N216" s="577"/>
      <c r="O216" s="577"/>
      <c r="P216" s="577"/>
      <c r="Q216" s="577"/>
      <c r="R216" s="577"/>
      <c r="S216" s="577"/>
      <c r="T216" s="577"/>
      <c r="U216" s="577"/>
      <c r="V216" s="577"/>
      <c r="W216" s="577"/>
      <c r="X216" s="577"/>
      <c r="Y216" s="577"/>
      <c r="Z216" s="577"/>
      <c r="AA216" s="577"/>
      <c r="AB216" s="577"/>
      <c r="AC216" s="583"/>
      <c r="AD216" s="371"/>
      <c r="AE216" s="372"/>
      <c r="AF216" s="368"/>
    </row>
    <row r="217" spans="1:32" s="383" customFormat="1" x14ac:dyDescent="0.2">
      <c r="A217" s="355"/>
      <c r="B217" s="355"/>
      <c r="C217" s="355"/>
      <c r="D217" s="355"/>
      <c r="E217" s="355"/>
      <c r="F217" s="577"/>
      <c r="G217" s="355"/>
      <c r="H217" s="399"/>
      <c r="I217" s="355"/>
      <c r="L217" s="355"/>
      <c r="M217" s="577"/>
      <c r="N217" s="577"/>
      <c r="O217" s="577"/>
      <c r="P217" s="577"/>
      <c r="Q217" s="577"/>
      <c r="R217" s="577"/>
      <c r="S217" s="577"/>
      <c r="T217" s="577"/>
      <c r="U217" s="577"/>
      <c r="V217" s="577"/>
      <c r="W217" s="577"/>
      <c r="X217" s="577"/>
      <c r="Y217" s="577"/>
      <c r="Z217" s="577"/>
      <c r="AA217" s="577"/>
      <c r="AB217" s="577"/>
      <c r="AC217" s="583"/>
      <c r="AD217" s="371"/>
      <c r="AE217" s="371"/>
      <c r="AF217" s="370"/>
    </row>
    <row r="218" spans="1:32" s="383" customFormat="1" x14ac:dyDescent="0.2">
      <c r="A218" s="355"/>
      <c r="B218" s="355"/>
      <c r="C218" s="355"/>
      <c r="D218" s="355"/>
      <c r="E218" s="355"/>
      <c r="F218" s="577"/>
      <c r="G218" s="355"/>
      <c r="H218" s="399"/>
      <c r="I218" s="355"/>
      <c r="L218" s="355"/>
      <c r="M218" s="577"/>
      <c r="N218" s="577"/>
      <c r="O218" s="577"/>
      <c r="P218" s="577"/>
      <c r="Q218" s="577"/>
      <c r="R218" s="577"/>
      <c r="S218" s="577"/>
      <c r="T218" s="577"/>
      <c r="U218" s="577"/>
      <c r="V218" s="577"/>
      <c r="W218" s="577"/>
      <c r="X218" s="577"/>
      <c r="Y218" s="577"/>
      <c r="Z218" s="577"/>
      <c r="AA218" s="577"/>
      <c r="AB218" s="577"/>
      <c r="AC218" s="583"/>
      <c r="AD218" s="371"/>
      <c r="AE218" s="373"/>
      <c r="AF218" s="367"/>
    </row>
    <row r="219" spans="1:32" s="383" customFormat="1" x14ac:dyDescent="0.2">
      <c r="A219" s="355"/>
      <c r="B219" s="355"/>
      <c r="C219" s="355"/>
      <c r="D219" s="355"/>
      <c r="E219" s="355"/>
      <c r="F219" s="577"/>
      <c r="G219" s="355"/>
      <c r="H219" s="399"/>
      <c r="I219" s="355"/>
      <c r="L219" s="355"/>
      <c r="M219" s="577"/>
      <c r="N219" s="577"/>
      <c r="O219" s="577"/>
      <c r="P219" s="577"/>
      <c r="Q219" s="577"/>
      <c r="R219" s="577"/>
      <c r="S219" s="577"/>
      <c r="T219" s="577"/>
      <c r="U219" s="577"/>
      <c r="V219" s="577"/>
      <c r="W219" s="577"/>
      <c r="X219" s="577"/>
      <c r="Y219" s="577"/>
      <c r="Z219" s="577"/>
      <c r="AA219" s="577"/>
      <c r="AB219" s="577"/>
      <c r="AC219" s="583"/>
      <c r="AD219" s="371"/>
      <c r="AE219" s="372"/>
      <c r="AF219" s="367"/>
    </row>
    <row r="220" spans="1:32" s="383" customFormat="1" x14ac:dyDescent="0.2">
      <c r="A220" s="355"/>
      <c r="B220" s="355"/>
      <c r="C220" s="355"/>
      <c r="D220" s="355"/>
      <c r="E220" s="355"/>
      <c r="F220" s="577"/>
      <c r="G220" s="355"/>
      <c r="H220" s="399"/>
      <c r="I220" s="355"/>
      <c r="L220" s="355"/>
      <c r="M220" s="577"/>
      <c r="N220" s="577"/>
      <c r="O220" s="577"/>
      <c r="P220" s="577"/>
      <c r="Q220" s="577"/>
      <c r="R220" s="577"/>
      <c r="S220" s="577"/>
      <c r="T220" s="577"/>
      <c r="U220" s="577"/>
      <c r="V220" s="577"/>
      <c r="W220" s="577"/>
      <c r="X220" s="577"/>
      <c r="Y220" s="577"/>
      <c r="Z220" s="577"/>
      <c r="AA220" s="577"/>
      <c r="AB220" s="577"/>
      <c r="AC220" s="583"/>
      <c r="AD220" s="371"/>
      <c r="AE220" s="372"/>
      <c r="AF220" s="367"/>
    </row>
    <row r="221" spans="1:32" s="383" customFormat="1" x14ac:dyDescent="0.2">
      <c r="A221" s="355"/>
      <c r="B221" s="355"/>
      <c r="C221" s="355"/>
      <c r="D221" s="355"/>
      <c r="E221" s="355"/>
      <c r="F221" s="577"/>
      <c r="G221" s="355"/>
      <c r="H221" s="399"/>
      <c r="I221" s="355"/>
      <c r="L221" s="355"/>
      <c r="M221" s="577"/>
      <c r="N221" s="577"/>
      <c r="O221" s="577"/>
      <c r="P221" s="577"/>
      <c r="Q221" s="577"/>
      <c r="R221" s="577"/>
      <c r="S221" s="577"/>
      <c r="T221" s="577"/>
      <c r="U221" s="577"/>
      <c r="V221" s="577"/>
      <c r="W221" s="577"/>
      <c r="X221" s="577"/>
      <c r="Y221" s="577"/>
      <c r="Z221" s="577"/>
      <c r="AA221" s="577"/>
      <c r="AB221" s="577"/>
      <c r="AC221" s="583"/>
      <c r="AD221" s="371"/>
      <c r="AE221" s="372"/>
      <c r="AF221" s="367"/>
    </row>
    <row r="222" spans="1:32" s="383" customFormat="1" ht="12.75" customHeight="1" x14ac:dyDescent="0.2">
      <c r="A222" s="355"/>
      <c r="B222" s="355"/>
      <c r="C222" s="355"/>
      <c r="D222" s="355"/>
      <c r="E222" s="355"/>
      <c r="F222" s="577"/>
      <c r="G222" s="355"/>
      <c r="H222" s="399"/>
      <c r="I222" s="355"/>
      <c r="L222" s="355"/>
      <c r="M222" s="577"/>
      <c r="N222" s="577"/>
      <c r="O222" s="577"/>
      <c r="P222" s="577"/>
      <c r="Q222" s="577"/>
      <c r="R222" s="577"/>
      <c r="S222" s="577"/>
      <c r="T222" s="577"/>
      <c r="U222" s="577"/>
      <c r="V222" s="577"/>
      <c r="W222" s="577"/>
      <c r="X222" s="577"/>
      <c r="Y222" s="577"/>
      <c r="Z222" s="577"/>
      <c r="AA222" s="577"/>
      <c r="AB222" s="577"/>
      <c r="AC222" s="583"/>
      <c r="AD222" s="371"/>
      <c r="AE222" s="371"/>
      <c r="AF222" s="367"/>
    </row>
    <row r="223" spans="1:32" s="383" customFormat="1" x14ac:dyDescent="0.2">
      <c r="A223" s="355"/>
      <c r="B223" s="355"/>
      <c r="C223" s="355"/>
      <c r="D223" s="355"/>
      <c r="E223" s="355"/>
      <c r="F223" s="577"/>
      <c r="G223" s="355"/>
      <c r="H223" s="399"/>
      <c r="I223" s="355"/>
      <c r="L223" s="355"/>
      <c r="M223" s="577"/>
      <c r="N223" s="577"/>
      <c r="O223" s="577"/>
      <c r="P223" s="577"/>
      <c r="Q223" s="577"/>
      <c r="R223" s="577"/>
      <c r="S223" s="577"/>
      <c r="T223" s="577"/>
      <c r="U223" s="577"/>
      <c r="V223" s="577"/>
      <c r="W223" s="577"/>
      <c r="X223" s="577"/>
      <c r="Y223" s="577"/>
      <c r="Z223" s="577"/>
      <c r="AA223" s="577"/>
      <c r="AB223" s="577"/>
      <c r="AC223" s="583"/>
      <c r="AD223" s="371"/>
      <c r="AE223" s="373"/>
      <c r="AF223" s="367"/>
    </row>
    <row r="224" spans="1:32" s="383" customFormat="1" x14ac:dyDescent="0.2">
      <c r="A224" s="355"/>
      <c r="B224" s="355"/>
      <c r="C224" s="355"/>
      <c r="D224" s="355"/>
      <c r="E224" s="355"/>
      <c r="F224" s="577"/>
      <c r="G224" s="355"/>
      <c r="H224" s="399"/>
      <c r="I224" s="355"/>
      <c r="J224" s="355"/>
      <c r="K224" s="355"/>
      <c r="L224" s="355"/>
      <c r="M224" s="577"/>
      <c r="N224" s="577"/>
      <c r="O224" s="577"/>
      <c r="P224" s="577"/>
      <c r="Q224" s="577"/>
      <c r="R224" s="577"/>
      <c r="S224" s="577"/>
      <c r="T224" s="577"/>
      <c r="U224" s="577"/>
      <c r="V224" s="577"/>
      <c r="W224" s="577"/>
      <c r="X224" s="577"/>
      <c r="Y224" s="577"/>
      <c r="Z224" s="577"/>
      <c r="AA224" s="577"/>
      <c r="AB224" s="577"/>
      <c r="AC224" s="583"/>
      <c r="AD224" s="371"/>
      <c r="AE224" s="372"/>
      <c r="AF224" s="367"/>
    </row>
    <row r="225" spans="1:32" s="383" customFormat="1" x14ac:dyDescent="0.2">
      <c r="A225" s="355"/>
      <c r="B225" s="355"/>
      <c r="C225" s="355"/>
      <c r="D225" s="355"/>
      <c r="E225" s="355"/>
      <c r="F225" s="577"/>
      <c r="G225" s="355"/>
      <c r="H225" s="399"/>
      <c r="I225" s="355"/>
      <c r="J225" s="355"/>
      <c r="K225" s="355"/>
      <c r="L225" s="355"/>
      <c r="M225" s="577"/>
      <c r="N225" s="577"/>
      <c r="O225" s="577"/>
      <c r="P225" s="577"/>
      <c r="Q225" s="577"/>
      <c r="R225" s="577"/>
      <c r="S225" s="577"/>
      <c r="T225" s="577"/>
      <c r="U225" s="577"/>
      <c r="V225" s="577"/>
      <c r="W225" s="577"/>
      <c r="X225" s="577"/>
      <c r="Y225" s="577"/>
      <c r="Z225" s="577"/>
      <c r="AA225" s="577"/>
      <c r="AB225" s="577"/>
      <c r="AC225" s="583"/>
      <c r="AD225" s="355"/>
      <c r="AE225" s="371"/>
      <c r="AF225" s="367"/>
    </row>
    <row r="226" spans="1:32" s="383" customFormat="1" x14ac:dyDescent="0.2">
      <c r="A226" s="355"/>
      <c r="B226" s="355"/>
      <c r="C226" s="355"/>
      <c r="D226" s="355"/>
      <c r="E226" s="355"/>
      <c r="F226" s="577"/>
      <c r="G226" s="355"/>
      <c r="H226" s="399"/>
      <c r="I226" s="355"/>
      <c r="J226" s="355"/>
      <c r="K226" s="355"/>
      <c r="L226" s="355"/>
      <c r="M226" s="577"/>
      <c r="N226" s="577"/>
      <c r="O226" s="577"/>
      <c r="P226" s="577"/>
      <c r="Q226" s="577"/>
      <c r="R226" s="577"/>
      <c r="S226" s="577"/>
      <c r="T226" s="577"/>
      <c r="U226" s="577"/>
      <c r="V226" s="577"/>
      <c r="W226" s="577"/>
      <c r="X226" s="577"/>
      <c r="Y226" s="577"/>
      <c r="Z226" s="577"/>
      <c r="AA226" s="577"/>
      <c r="AB226" s="577"/>
      <c r="AC226" s="583"/>
      <c r="AD226" s="355"/>
      <c r="AE226" s="371"/>
      <c r="AF226" s="367"/>
    </row>
    <row r="227" spans="1:32" s="383" customFormat="1" x14ac:dyDescent="0.2">
      <c r="A227" s="355"/>
      <c r="B227" s="355"/>
      <c r="C227" s="355"/>
      <c r="D227" s="355"/>
      <c r="E227" s="355"/>
      <c r="F227" s="577"/>
      <c r="G227" s="355"/>
      <c r="H227" s="399"/>
      <c r="I227" s="355"/>
      <c r="J227" s="355"/>
      <c r="K227" s="355"/>
      <c r="L227" s="355"/>
      <c r="M227" s="577"/>
      <c r="N227" s="577"/>
      <c r="O227" s="577"/>
      <c r="P227" s="577"/>
      <c r="Q227" s="577"/>
      <c r="R227" s="577"/>
      <c r="S227" s="577"/>
      <c r="T227" s="577"/>
      <c r="U227" s="577"/>
      <c r="V227" s="577"/>
      <c r="W227" s="577"/>
      <c r="X227" s="577"/>
      <c r="Y227" s="577"/>
      <c r="Z227" s="577"/>
      <c r="AA227" s="577"/>
      <c r="AB227" s="577"/>
      <c r="AC227" s="583"/>
      <c r="AD227" s="355"/>
      <c r="AE227" s="371"/>
      <c r="AF227" s="355"/>
    </row>
    <row r="228" spans="1:32" s="383" customFormat="1" x14ac:dyDescent="0.2">
      <c r="A228" s="355"/>
      <c r="B228" s="355"/>
      <c r="C228" s="355"/>
      <c r="D228" s="355"/>
      <c r="E228" s="355"/>
      <c r="F228" s="577"/>
      <c r="G228" s="355"/>
      <c r="H228" s="399"/>
      <c r="I228" s="355"/>
      <c r="J228" s="355"/>
      <c r="K228" s="355"/>
      <c r="L228" s="355"/>
      <c r="M228" s="577"/>
      <c r="N228" s="577"/>
      <c r="O228" s="577"/>
      <c r="P228" s="577"/>
      <c r="Q228" s="577"/>
      <c r="R228" s="577"/>
      <c r="S228" s="577"/>
      <c r="T228" s="577"/>
      <c r="U228" s="577"/>
      <c r="V228" s="577"/>
      <c r="W228" s="577"/>
      <c r="X228" s="577"/>
      <c r="Y228" s="577"/>
      <c r="Z228" s="577"/>
      <c r="AA228" s="577"/>
      <c r="AB228" s="577"/>
      <c r="AC228" s="583"/>
      <c r="AD228" s="355"/>
      <c r="AE228" s="358"/>
      <c r="AF228" s="355"/>
    </row>
    <row r="229" spans="1:32" s="383" customFormat="1" x14ac:dyDescent="0.2">
      <c r="A229" s="355"/>
      <c r="B229" s="355"/>
      <c r="C229" s="355"/>
      <c r="D229" s="355"/>
      <c r="E229" s="355"/>
      <c r="F229" s="577"/>
      <c r="G229" s="355"/>
      <c r="H229" s="399"/>
      <c r="I229" s="355"/>
      <c r="J229" s="355"/>
      <c r="K229" s="355"/>
      <c r="L229" s="355"/>
      <c r="M229" s="577"/>
      <c r="N229" s="577"/>
      <c r="O229" s="577"/>
      <c r="P229" s="577"/>
      <c r="Q229" s="577"/>
      <c r="R229" s="577"/>
      <c r="S229" s="577"/>
      <c r="T229" s="577"/>
      <c r="U229" s="577"/>
      <c r="V229" s="577"/>
      <c r="W229" s="577"/>
      <c r="X229" s="577"/>
      <c r="Y229" s="577"/>
      <c r="Z229" s="577"/>
      <c r="AA229" s="577"/>
      <c r="AB229" s="577"/>
      <c r="AC229" s="583"/>
      <c r="AD229" s="355"/>
      <c r="AE229" s="358"/>
      <c r="AF229" s="355"/>
    </row>
    <row r="230" spans="1:32" s="383" customFormat="1" x14ac:dyDescent="0.2">
      <c r="A230" s="355"/>
      <c r="B230" s="355"/>
      <c r="C230" s="355"/>
      <c r="D230" s="355"/>
      <c r="E230" s="355"/>
      <c r="F230" s="577"/>
      <c r="G230" s="355"/>
      <c r="H230" s="399"/>
      <c r="I230" s="355"/>
      <c r="J230" s="355"/>
      <c r="K230" s="355"/>
      <c r="L230" s="355"/>
      <c r="M230" s="577"/>
      <c r="N230" s="577"/>
      <c r="O230" s="577"/>
      <c r="P230" s="577"/>
      <c r="Q230" s="577"/>
      <c r="R230" s="577"/>
      <c r="S230" s="577"/>
      <c r="T230" s="577"/>
      <c r="U230" s="577"/>
      <c r="V230" s="577"/>
      <c r="W230" s="577"/>
      <c r="X230" s="577"/>
      <c r="Y230" s="577"/>
      <c r="Z230" s="577"/>
      <c r="AA230" s="577"/>
      <c r="AB230" s="577"/>
      <c r="AC230" s="583"/>
      <c r="AD230" s="355"/>
      <c r="AE230" s="358"/>
      <c r="AF230" s="355"/>
    </row>
    <row r="231" spans="1:32" s="383" customFormat="1" x14ac:dyDescent="0.2">
      <c r="A231" s="355"/>
      <c r="B231" s="355"/>
      <c r="C231" s="355"/>
      <c r="D231" s="355"/>
      <c r="E231" s="355"/>
      <c r="F231" s="577"/>
      <c r="G231" s="355"/>
      <c r="H231" s="399"/>
      <c r="I231" s="355"/>
      <c r="J231" s="355"/>
      <c r="K231" s="355"/>
      <c r="L231" s="355"/>
      <c r="M231" s="577"/>
      <c r="N231" s="577"/>
      <c r="O231" s="577"/>
      <c r="P231" s="577"/>
      <c r="Q231" s="577"/>
      <c r="R231" s="577"/>
      <c r="S231" s="577"/>
      <c r="T231" s="577"/>
      <c r="U231" s="577"/>
      <c r="V231" s="577"/>
      <c r="W231" s="577"/>
      <c r="X231" s="577"/>
      <c r="Y231" s="577"/>
      <c r="Z231" s="577"/>
      <c r="AA231" s="577"/>
      <c r="AB231" s="577"/>
      <c r="AC231" s="583"/>
      <c r="AD231" s="355"/>
      <c r="AE231" s="358"/>
      <c r="AF231" s="355"/>
    </row>
    <row r="232" spans="1:32" s="383" customFormat="1" x14ac:dyDescent="0.2">
      <c r="A232" s="355"/>
      <c r="B232" s="355"/>
      <c r="C232" s="355"/>
      <c r="D232" s="355"/>
      <c r="E232" s="355"/>
      <c r="F232" s="577"/>
      <c r="G232" s="355"/>
      <c r="H232" s="399"/>
      <c r="I232" s="355"/>
      <c r="J232" s="355"/>
      <c r="K232" s="355"/>
      <c r="L232" s="355"/>
      <c r="M232" s="577"/>
      <c r="N232" s="577"/>
      <c r="O232" s="577"/>
      <c r="P232" s="577"/>
      <c r="Q232" s="577"/>
      <c r="R232" s="577"/>
      <c r="S232" s="577"/>
      <c r="T232" s="577"/>
      <c r="U232" s="577"/>
      <c r="V232" s="577"/>
      <c r="W232" s="577"/>
      <c r="X232" s="577"/>
      <c r="Y232" s="577"/>
      <c r="Z232" s="577"/>
      <c r="AA232" s="577"/>
      <c r="AB232" s="577"/>
      <c r="AC232" s="583"/>
      <c r="AD232" s="355"/>
      <c r="AE232" s="358"/>
      <c r="AF232" s="355"/>
    </row>
    <row r="233" spans="1:32" s="383" customFormat="1" ht="12" customHeight="1" x14ac:dyDescent="0.2">
      <c r="A233" s="355"/>
      <c r="B233" s="355"/>
      <c r="C233" s="355"/>
      <c r="D233" s="355"/>
      <c r="E233" s="355"/>
      <c r="F233" s="577"/>
      <c r="G233" s="355"/>
      <c r="H233" s="399"/>
      <c r="I233" s="355"/>
      <c r="J233" s="355"/>
      <c r="K233" s="355"/>
      <c r="L233" s="355"/>
      <c r="M233" s="577"/>
      <c r="N233" s="577"/>
      <c r="O233" s="577"/>
      <c r="P233" s="577"/>
      <c r="Q233" s="577"/>
      <c r="R233" s="577"/>
      <c r="S233" s="577"/>
      <c r="T233" s="577"/>
      <c r="U233" s="577"/>
      <c r="V233" s="577"/>
      <c r="W233" s="577"/>
      <c r="X233" s="577"/>
      <c r="Y233" s="577"/>
      <c r="Z233" s="577"/>
      <c r="AA233" s="577"/>
      <c r="AB233" s="577"/>
      <c r="AC233" s="583"/>
      <c r="AD233" s="355"/>
      <c r="AE233" s="358"/>
      <c r="AF233" s="355"/>
    </row>
    <row r="234" spans="1:32" s="383" customFormat="1" ht="12" customHeight="1" x14ac:dyDescent="0.2">
      <c r="A234" s="355"/>
      <c r="B234" s="355"/>
      <c r="C234" s="355"/>
      <c r="D234" s="355"/>
      <c r="E234" s="355"/>
      <c r="F234" s="577"/>
      <c r="G234" s="355"/>
      <c r="H234" s="399"/>
      <c r="I234" s="355"/>
      <c r="J234" s="355"/>
      <c r="K234" s="355"/>
      <c r="L234" s="355"/>
      <c r="M234" s="577"/>
      <c r="N234" s="577"/>
      <c r="O234" s="577"/>
      <c r="P234" s="577"/>
      <c r="Q234" s="577"/>
      <c r="R234" s="577"/>
      <c r="S234" s="577"/>
      <c r="T234" s="577"/>
      <c r="U234" s="577"/>
      <c r="V234" s="577"/>
      <c r="W234" s="577"/>
      <c r="X234" s="577"/>
      <c r="Y234" s="577"/>
      <c r="Z234" s="577"/>
      <c r="AA234" s="577"/>
      <c r="AB234" s="577"/>
      <c r="AC234" s="583"/>
      <c r="AD234" s="355"/>
      <c r="AE234" s="358"/>
      <c r="AF234" s="355"/>
    </row>
    <row r="235" spans="1:32" s="383" customFormat="1" ht="12" customHeight="1" x14ac:dyDescent="0.2">
      <c r="A235" s="355"/>
      <c r="B235" s="355"/>
      <c r="C235" s="355"/>
      <c r="D235" s="355"/>
      <c r="E235" s="355"/>
      <c r="F235" s="577"/>
      <c r="G235" s="355"/>
      <c r="H235" s="399"/>
      <c r="I235" s="355"/>
      <c r="J235" s="355"/>
      <c r="K235" s="355"/>
      <c r="L235" s="355"/>
      <c r="M235" s="577"/>
      <c r="N235" s="577"/>
      <c r="O235" s="577"/>
      <c r="P235" s="577"/>
      <c r="Q235" s="577"/>
      <c r="R235" s="577"/>
      <c r="S235" s="577"/>
      <c r="T235" s="577"/>
      <c r="U235" s="577"/>
      <c r="V235" s="577"/>
      <c r="W235" s="577"/>
      <c r="X235" s="577"/>
      <c r="Y235" s="577"/>
      <c r="Z235" s="577"/>
      <c r="AA235" s="577"/>
      <c r="AB235" s="577"/>
      <c r="AC235" s="583"/>
      <c r="AD235" s="355"/>
      <c r="AE235" s="358"/>
      <c r="AF235" s="355"/>
    </row>
    <row r="236" spans="1:32" s="383" customFormat="1" ht="12" customHeight="1" x14ac:dyDescent="0.2">
      <c r="A236" s="355"/>
      <c r="B236" s="355"/>
      <c r="C236" s="355"/>
      <c r="D236" s="355"/>
      <c r="E236" s="355"/>
      <c r="F236" s="577"/>
      <c r="G236" s="355"/>
      <c r="H236" s="399"/>
      <c r="I236" s="355"/>
      <c r="J236" s="355"/>
      <c r="K236" s="355"/>
      <c r="L236" s="355"/>
      <c r="M236" s="577"/>
      <c r="N236" s="577"/>
      <c r="O236" s="577"/>
      <c r="P236" s="577"/>
      <c r="Q236" s="577"/>
      <c r="R236" s="577"/>
      <c r="S236" s="577"/>
      <c r="T236" s="577"/>
      <c r="U236" s="577"/>
      <c r="V236" s="577"/>
      <c r="W236" s="577"/>
      <c r="X236" s="577"/>
      <c r="Y236" s="577"/>
      <c r="Z236" s="577"/>
      <c r="AA236" s="577"/>
      <c r="AB236" s="577"/>
      <c r="AC236" s="583"/>
      <c r="AD236" s="355"/>
      <c r="AE236" s="358"/>
      <c r="AF236" s="355"/>
    </row>
    <row r="237" spans="1:32" s="383" customFormat="1" ht="12" customHeight="1" x14ac:dyDescent="0.2">
      <c r="A237" s="355"/>
      <c r="B237" s="355"/>
      <c r="C237" s="355"/>
      <c r="D237" s="355"/>
      <c r="E237" s="355"/>
      <c r="F237" s="577"/>
      <c r="G237" s="355"/>
      <c r="H237" s="399"/>
      <c r="I237" s="355"/>
      <c r="J237" s="355"/>
      <c r="K237" s="355"/>
      <c r="L237" s="355"/>
      <c r="M237" s="577"/>
      <c r="N237" s="577"/>
      <c r="O237" s="577"/>
      <c r="P237" s="577"/>
      <c r="Q237" s="577"/>
      <c r="R237" s="577"/>
      <c r="S237" s="577"/>
      <c r="T237" s="577"/>
      <c r="U237" s="577"/>
      <c r="V237" s="577"/>
      <c r="W237" s="577"/>
      <c r="X237" s="577"/>
      <c r="Y237" s="577"/>
      <c r="Z237" s="577"/>
      <c r="AA237" s="577"/>
      <c r="AB237" s="577"/>
      <c r="AC237" s="583"/>
      <c r="AD237" s="355"/>
      <c r="AE237" s="358"/>
      <c r="AF237" s="355"/>
    </row>
    <row r="238" spans="1:32" s="383" customFormat="1" ht="12" customHeight="1" x14ac:dyDescent="0.2">
      <c r="A238" s="355"/>
      <c r="B238" s="355"/>
      <c r="C238" s="355"/>
      <c r="D238" s="355"/>
      <c r="E238" s="355"/>
      <c r="F238" s="577"/>
      <c r="G238" s="355"/>
      <c r="H238" s="399"/>
      <c r="I238" s="355"/>
      <c r="J238" s="355"/>
      <c r="K238" s="355"/>
      <c r="L238" s="355"/>
      <c r="M238" s="577"/>
      <c r="N238" s="577"/>
      <c r="O238" s="577"/>
      <c r="P238" s="577"/>
      <c r="Q238" s="577"/>
      <c r="R238" s="577"/>
      <c r="S238" s="577"/>
      <c r="T238" s="577"/>
      <c r="U238" s="577"/>
      <c r="V238" s="577"/>
      <c r="W238" s="577"/>
      <c r="X238" s="577"/>
      <c r="Y238" s="577"/>
      <c r="Z238" s="577"/>
      <c r="AA238" s="577"/>
      <c r="AB238" s="577"/>
      <c r="AC238" s="583"/>
      <c r="AD238" s="355"/>
      <c r="AE238" s="358"/>
      <c r="AF238" s="355"/>
    </row>
    <row r="239" spans="1:32" s="383" customFormat="1" ht="12" customHeight="1" x14ac:dyDescent="0.2">
      <c r="A239" s="355"/>
      <c r="B239" s="355"/>
      <c r="C239" s="355"/>
      <c r="D239" s="355"/>
      <c r="E239" s="355"/>
      <c r="F239" s="577"/>
      <c r="G239" s="355"/>
      <c r="H239" s="399"/>
      <c r="I239" s="355"/>
      <c r="J239" s="355"/>
      <c r="K239" s="355"/>
      <c r="L239" s="355"/>
      <c r="M239" s="577"/>
      <c r="N239" s="577"/>
      <c r="O239" s="577"/>
      <c r="P239" s="577"/>
      <c r="Q239" s="577"/>
      <c r="R239" s="577"/>
      <c r="S239" s="577"/>
      <c r="T239" s="577"/>
      <c r="U239" s="577"/>
      <c r="V239" s="577"/>
      <c r="W239" s="577"/>
      <c r="X239" s="577"/>
      <c r="Y239" s="577"/>
      <c r="Z239" s="577"/>
      <c r="AA239" s="577"/>
      <c r="AB239" s="577"/>
      <c r="AC239" s="583"/>
      <c r="AD239" s="355"/>
      <c r="AE239" s="358"/>
      <c r="AF239" s="355"/>
    </row>
    <row r="240" spans="1:32" s="383" customFormat="1" ht="12" customHeight="1" x14ac:dyDescent="0.2">
      <c r="A240" s="355"/>
      <c r="B240" s="355"/>
      <c r="C240" s="355"/>
      <c r="D240" s="355"/>
      <c r="E240" s="355"/>
      <c r="F240" s="577"/>
      <c r="G240" s="355"/>
      <c r="H240" s="399"/>
      <c r="I240" s="355"/>
      <c r="J240" s="355"/>
      <c r="K240" s="355"/>
      <c r="L240" s="355"/>
      <c r="M240" s="577"/>
      <c r="N240" s="577"/>
      <c r="O240" s="577"/>
      <c r="P240" s="577"/>
      <c r="Q240" s="577"/>
      <c r="R240" s="577"/>
      <c r="S240" s="577"/>
      <c r="T240" s="577"/>
      <c r="U240" s="577"/>
      <c r="V240" s="577"/>
      <c r="W240" s="577"/>
      <c r="X240" s="577"/>
      <c r="Y240" s="577"/>
      <c r="Z240" s="577"/>
      <c r="AA240" s="577"/>
      <c r="AB240" s="577"/>
      <c r="AC240" s="583"/>
      <c r="AD240" s="355"/>
      <c r="AE240" s="358"/>
      <c r="AF240" s="355"/>
    </row>
    <row r="241" spans="1:33" s="383" customFormat="1" ht="12" customHeight="1" x14ac:dyDescent="0.2">
      <c r="A241" s="355"/>
      <c r="B241" s="355"/>
      <c r="C241" s="355"/>
      <c r="D241" s="355"/>
      <c r="E241" s="355"/>
      <c r="F241" s="577"/>
      <c r="G241" s="355"/>
      <c r="H241" s="399"/>
      <c r="I241" s="355"/>
      <c r="J241" s="355"/>
      <c r="K241" s="355"/>
      <c r="L241" s="355"/>
      <c r="M241" s="577"/>
      <c r="N241" s="577"/>
      <c r="O241" s="577"/>
      <c r="P241" s="577"/>
      <c r="Q241" s="577"/>
      <c r="R241" s="577"/>
      <c r="S241" s="577"/>
      <c r="T241" s="577"/>
      <c r="U241" s="577"/>
      <c r="V241" s="577"/>
      <c r="W241" s="577"/>
      <c r="X241" s="577"/>
      <c r="Y241" s="577"/>
      <c r="Z241" s="577"/>
      <c r="AA241" s="577"/>
      <c r="AB241" s="577"/>
      <c r="AC241" s="583"/>
      <c r="AD241" s="355"/>
      <c r="AE241" s="358"/>
      <c r="AF241" s="355"/>
    </row>
    <row r="242" spans="1:33" s="383" customFormat="1" ht="12" customHeight="1" x14ac:dyDescent="0.2">
      <c r="A242" s="355"/>
      <c r="B242" s="355"/>
      <c r="C242" s="355"/>
      <c r="D242" s="355"/>
      <c r="E242" s="355"/>
      <c r="F242" s="577"/>
      <c r="G242" s="355"/>
      <c r="H242" s="399"/>
      <c r="I242" s="355"/>
      <c r="J242" s="355"/>
      <c r="K242" s="355"/>
      <c r="L242" s="355"/>
      <c r="M242" s="577"/>
      <c r="N242" s="577"/>
      <c r="O242" s="577"/>
      <c r="P242" s="577"/>
      <c r="Q242" s="577"/>
      <c r="R242" s="577"/>
      <c r="S242" s="577"/>
      <c r="T242" s="577"/>
      <c r="U242" s="577"/>
      <c r="V242" s="577"/>
      <c r="W242" s="577"/>
      <c r="X242" s="577"/>
      <c r="Y242" s="577"/>
      <c r="Z242" s="577"/>
      <c r="AA242" s="577"/>
      <c r="AB242" s="577"/>
      <c r="AC242" s="583"/>
      <c r="AD242" s="355"/>
      <c r="AE242" s="358"/>
      <c r="AF242" s="355"/>
    </row>
    <row r="243" spans="1:33" s="383" customFormat="1" ht="12" customHeight="1" x14ac:dyDescent="0.2">
      <c r="A243" s="355"/>
      <c r="B243" s="355"/>
      <c r="C243" s="355"/>
      <c r="D243" s="355"/>
      <c r="E243" s="355"/>
      <c r="F243" s="577"/>
      <c r="G243" s="355"/>
      <c r="H243" s="399"/>
      <c r="I243" s="355"/>
      <c r="J243" s="355"/>
      <c r="K243" s="355"/>
      <c r="L243" s="355"/>
      <c r="M243" s="577"/>
      <c r="N243" s="577"/>
      <c r="O243" s="577"/>
      <c r="P243" s="577"/>
      <c r="Q243" s="577"/>
      <c r="R243" s="577"/>
      <c r="S243" s="577"/>
      <c r="T243" s="577"/>
      <c r="U243" s="577"/>
      <c r="V243" s="577"/>
      <c r="W243" s="577"/>
      <c r="X243" s="577"/>
      <c r="Y243" s="577"/>
      <c r="Z243" s="577"/>
      <c r="AA243" s="577"/>
      <c r="AB243" s="577"/>
      <c r="AC243" s="583"/>
      <c r="AD243" s="355"/>
      <c r="AE243" s="358"/>
      <c r="AF243" s="355"/>
    </row>
    <row r="244" spans="1:33" s="383" customFormat="1" ht="12" customHeight="1" x14ac:dyDescent="0.2">
      <c r="A244" s="355"/>
      <c r="B244" s="355"/>
      <c r="C244" s="355"/>
      <c r="D244" s="355"/>
      <c r="E244" s="355"/>
      <c r="F244" s="577"/>
      <c r="G244" s="355"/>
      <c r="H244" s="399"/>
      <c r="I244" s="355"/>
      <c r="J244" s="355"/>
      <c r="K244" s="355"/>
      <c r="L244" s="355"/>
      <c r="M244" s="577"/>
      <c r="N244" s="577"/>
      <c r="O244" s="577"/>
      <c r="P244" s="577"/>
      <c r="Q244" s="577"/>
      <c r="R244" s="577"/>
      <c r="S244" s="577"/>
      <c r="T244" s="577"/>
      <c r="U244" s="577"/>
      <c r="V244" s="577"/>
      <c r="W244" s="577"/>
      <c r="X244" s="577"/>
      <c r="Y244" s="577"/>
      <c r="Z244" s="577"/>
      <c r="AA244" s="577"/>
      <c r="AB244" s="577"/>
      <c r="AC244" s="583"/>
      <c r="AD244" s="355"/>
      <c r="AE244" s="358"/>
      <c r="AF244" s="355"/>
    </row>
    <row r="245" spans="1:33" s="383" customFormat="1" ht="12" customHeight="1" x14ac:dyDescent="0.2">
      <c r="A245" s="355"/>
      <c r="B245" s="355"/>
      <c r="C245" s="355"/>
      <c r="D245" s="355"/>
      <c r="E245" s="355"/>
      <c r="F245" s="577"/>
      <c r="G245" s="355"/>
      <c r="H245" s="399"/>
      <c r="I245" s="355"/>
      <c r="J245" s="355"/>
      <c r="K245" s="355"/>
      <c r="L245" s="355"/>
      <c r="M245" s="577"/>
      <c r="N245" s="577"/>
      <c r="O245" s="577"/>
      <c r="P245" s="577"/>
      <c r="Q245" s="577"/>
      <c r="R245" s="577"/>
      <c r="S245" s="577"/>
      <c r="T245" s="577"/>
      <c r="U245" s="577"/>
      <c r="V245" s="577"/>
      <c r="W245" s="577"/>
      <c r="X245" s="577"/>
      <c r="Y245" s="577"/>
      <c r="Z245" s="577"/>
      <c r="AA245" s="577"/>
      <c r="AB245" s="577"/>
      <c r="AC245" s="583"/>
      <c r="AD245" s="355"/>
      <c r="AE245" s="358"/>
      <c r="AF245" s="355"/>
    </row>
    <row r="246" spans="1:33" s="383" customFormat="1" ht="12" customHeight="1" x14ac:dyDescent="0.2">
      <c r="A246" s="355"/>
      <c r="B246" s="355"/>
      <c r="C246" s="355"/>
      <c r="D246" s="355"/>
      <c r="E246" s="355"/>
      <c r="F246" s="577"/>
      <c r="G246" s="355"/>
      <c r="H246" s="399"/>
      <c r="I246" s="355"/>
      <c r="J246" s="355"/>
      <c r="K246" s="355"/>
      <c r="L246" s="355"/>
      <c r="M246" s="577"/>
      <c r="N246" s="577"/>
      <c r="O246" s="577"/>
      <c r="P246" s="577"/>
      <c r="Q246" s="577"/>
      <c r="R246" s="577"/>
      <c r="S246" s="577"/>
      <c r="T246" s="577"/>
      <c r="U246" s="577"/>
      <c r="V246" s="577"/>
      <c r="W246" s="577"/>
      <c r="X246" s="577"/>
      <c r="Y246" s="577"/>
      <c r="Z246" s="577"/>
      <c r="AA246" s="577"/>
      <c r="AB246" s="577"/>
      <c r="AC246" s="583"/>
      <c r="AD246" s="355"/>
      <c r="AE246" s="358"/>
      <c r="AF246" s="355"/>
    </row>
    <row r="247" spans="1:33" s="383" customFormat="1" ht="12" customHeight="1" x14ac:dyDescent="0.2">
      <c r="A247" s="355"/>
      <c r="B247" s="355"/>
      <c r="C247" s="355"/>
      <c r="D247" s="355"/>
      <c r="E247" s="355"/>
      <c r="F247" s="577"/>
      <c r="G247" s="355"/>
      <c r="H247" s="399"/>
      <c r="I247" s="355"/>
      <c r="J247" s="355"/>
      <c r="K247" s="355"/>
      <c r="L247" s="355"/>
      <c r="M247" s="577"/>
      <c r="N247" s="577"/>
      <c r="O247" s="577"/>
      <c r="P247" s="577"/>
      <c r="Q247" s="577"/>
      <c r="R247" s="577"/>
      <c r="S247" s="577"/>
      <c r="T247" s="577"/>
      <c r="U247" s="577"/>
      <c r="V247" s="577"/>
      <c r="W247" s="577"/>
      <c r="X247" s="577"/>
      <c r="Y247" s="577"/>
      <c r="Z247" s="577"/>
      <c r="AA247" s="577"/>
      <c r="AB247" s="577"/>
      <c r="AC247" s="583"/>
      <c r="AD247" s="355"/>
      <c r="AE247" s="358"/>
      <c r="AF247" s="355"/>
    </row>
    <row r="248" spans="1:33" s="383" customFormat="1" ht="12" customHeight="1" x14ac:dyDescent="0.2">
      <c r="A248" s="355"/>
      <c r="B248" s="355"/>
      <c r="C248" s="355"/>
      <c r="D248" s="355"/>
      <c r="E248" s="355"/>
      <c r="F248" s="577"/>
      <c r="G248" s="355"/>
      <c r="H248" s="399"/>
      <c r="I248" s="355"/>
      <c r="J248" s="355"/>
      <c r="K248" s="355"/>
      <c r="L248" s="355"/>
      <c r="M248" s="577"/>
      <c r="N248" s="577"/>
      <c r="O248" s="577"/>
      <c r="P248" s="577"/>
      <c r="Q248" s="577"/>
      <c r="R248" s="577"/>
      <c r="S248" s="577"/>
      <c r="T248" s="577"/>
      <c r="U248" s="577"/>
      <c r="V248" s="577"/>
      <c r="W248" s="577"/>
      <c r="X248" s="577"/>
      <c r="Y248" s="577"/>
      <c r="Z248" s="577"/>
      <c r="AA248" s="577"/>
      <c r="AB248" s="577"/>
      <c r="AC248" s="583"/>
      <c r="AD248" s="355"/>
      <c r="AE248" s="358"/>
      <c r="AF248" s="355"/>
    </row>
    <row r="249" spans="1:33" s="383" customFormat="1" ht="12" customHeight="1" x14ac:dyDescent="0.2">
      <c r="A249" s="355"/>
      <c r="B249" s="355"/>
      <c r="C249" s="355"/>
      <c r="D249" s="355"/>
      <c r="E249" s="355"/>
      <c r="F249" s="577"/>
      <c r="G249" s="355"/>
      <c r="H249" s="399"/>
      <c r="I249" s="355"/>
      <c r="J249" s="355"/>
      <c r="K249" s="355"/>
      <c r="L249" s="355"/>
      <c r="M249" s="577"/>
      <c r="N249" s="577"/>
      <c r="O249" s="577"/>
      <c r="P249" s="577"/>
      <c r="Q249" s="577"/>
      <c r="R249" s="577"/>
      <c r="S249" s="577"/>
      <c r="T249" s="577"/>
      <c r="U249" s="577"/>
      <c r="V249" s="577"/>
      <c r="W249" s="577"/>
      <c r="X249" s="577"/>
      <c r="Y249" s="577"/>
      <c r="Z249" s="577"/>
      <c r="AA249" s="577"/>
      <c r="AB249" s="577"/>
      <c r="AC249" s="583"/>
      <c r="AD249" s="355"/>
      <c r="AE249" s="358"/>
      <c r="AF249" s="355"/>
    </row>
    <row r="250" spans="1:33" s="383" customFormat="1" ht="12" customHeight="1" x14ac:dyDescent="0.2">
      <c r="A250" s="355"/>
      <c r="B250" s="355"/>
      <c r="C250" s="355"/>
      <c r="D250" s="355"/>
      <c r="E250" s="355"/>
      <c r="F250" s="577"/>
      <c r="G250" s="355"/>
      <c r="H250" s="399"/>
      <c r="I250" s="355"/>
      <c r="J250" s="355"/>
      <c r="K250" s="355"/>
      <c r="L250" s="355"/>
      <c r="M250" s="577"/>
      <c r="N250" s="577"/>
      <c r="O250" s="577"/>
      <c r="P250" s="577"/>
      <c r="Q250" s="577"/>
      <c r="R250" s="577"/>
      <c r="S250" s="577"/>
      <c r="T250" s="577"/>
      <c r="U250" s="577"/>
      <c r="V250" s="577"/>
      <c r="W250" s="577"/>
      <c r="X250" s="577"/>
      <c r="Y250" s="577"/>
      <c r="Z250" s="577"/>
      <c r="AA250" s="577"/>
      <c r="AB250" s="577"/>
      <c r="AC250" s="583"/>
      <c r="AD250" s="355"/>
      <c r="AE250" s="358"/>
      <c r="AF250" s="355"/>
    </row>
    <row r="251" spans="1:33" s="383" customFormat="1" ht="12" customHeight="1" x14ac:dyDescent="0.2">
      <c r="A251" s="355"/>
      <c r="B251" s="355"/>
      <c r="C251" s="355"/>
      <c r="D251" s="355"/>
      <c r="E251" s="355"/>
      <c r="F251" s="577"/>
      <c r="G251" s="355"/>
      <c r="H251" s="399"/>
      <c r="I251" s="355"/>
      <c r="J251" s="355"/>
      <c r="K251" s="355"/>
      <c r="L251" s="355"/>
      <c r="M251" s="577"/>
      <c r="N251" s="577"/>
      <c r="O251" s="577"/>
      <c r="P251" s="577"/>
      <c r="Q251" s="577"/>
      <c r="R251" s="577"/>
      <c r="S251" s="577"/>
      <c r="T251" s="577"/>
      <c r="U251" s="577"/>
      <c r="V251" s="577"/>
      <c r="W251" s="577"/>
      <c r="X251" s="577"/>
      <c r="Y251" s="577"/>
      <c r="Z251" s="577"/>
      <c r="AA251" s="577"/>
      <c r="AB251" s="577"/>
      <c r="AC251" s="583"/>
      <c r="AD251" s="355"/>
      <c r="AE251" s="358"/>
      <c r="AF251" s="355"/>
    </row>
    <row r="252" spans="1:33" s="339" customFormat="1" x14ac:dyDescent="0.2">
      <c r="A252" s="355"/>
      <c r="B252" s="355"/>
      <c r="C252" s="355"/>
      <c r="D252" s="355"/>
      <c r="E252" s="355"/>
      <c r="F252" s="577"/>
      <c r="G252" s="355"/>
      <c r="H252" s="399"/>
      <c r="I252" s="355"/>
      <c r="J252" s="355"/>
      <c r="K252" s="355"/>
      <c r="L252" s="355"/>
      <c r="M252" s="577"/>
      <c r="N252" s="577"/>
      <c r="O252" s="577"/>
      <c r="P252" s="577"/>
      <c r="Q252" s="577"/>
      <c r="R252" s="577"/>
      <c r="S252" s="577"/>
      <c r="T252" s="577"/>
      <c r="U252" s="577"/>
      <c r="V252" s="577"/>
      <c r="W252" s="577"/>
      <c r="X252" s="577"/>
      <c r="Y252" s="577"/>
      <c r="Z252" s="577"/>
      <c r="AA252" s="577"/>
      <c r="AB252" s="577"/>
      <c r="AC252" s="583"/>
      <c r="AD252" s="355"/>
      <c r="AE252" s="358"/>
      <c r="AF252" s="355"/>
      <c r="AG252" s="383"/>
    </row>
    <row r="253" spans="1:33" s="339" customFormat="1" x14ac:dyDescent="0.2">
      <c r="A253" s="355"/>
      <c r="B253" s="355"/>
      <c r="C253" s="355"/>
      <c r="D253" s="355"/>
      <c r="E253" s="355"/>
      <c r="F253" s="577"/>
      <c r="G253" s="355"/>
      <c r="H253" s="399"/>
      <c r="I253" s="355"/>
      <c r="J253" s="355"/>
      <c r="K253" s="355"/>
      <c r="L253" s="355"/>
      <c r="M253" s="577"/>
      <c r="N253" s="577"/>
      <c r="O253" s="577"/>
      <c r="P253" s="577"/>
      <c r="Q253" s="577"/>
      <c r="R253" s="577"/>
      <c r="S253" s="577"/>
      <c r="T253" s="577"/>
      <c r="U253" s="577"/>
      <c r="V253" s="577"/>
      <c r="W253" s="577"/>
      <c r="X253" s="577"/>
      <c r="Y253" s="577"/>
      <c r="Z253" s="577"/>
      <c r="AA253" s="577"/>
      <c r="AB253" s="577"/>
      <c r="AC253" s="583"/>
      <c r="AD253" s="355"/>
      <c r="AE253" s="358"/>
      <c r="AF253" s="355"/>
      <c r="AG253" s="383"/>
    </row>
    <row r="254" spans="1:33" s="339" customFormat="1" x14ac:dyDescent="0.2">
      <c r="A254" s="355"/>
      <c r="B254" s="355"/>
      <c r="C254" s="355"/>
      <c r="D254" s="355"/>
      <c r="E254" s="355"/>
      <c r="F254" s="577"/>
      <c r="G254" s="355"/>
      <c r="H254" s="399"/>
      <c r="I254" s="355"/>
      <c r="J254" s="355"/>
      <c r="K254" s="355"/>
      <c r="L254" s="355"/>
      <c r="M254" s="577"/>
      <c r="N254" s="577"/>
      <c r="O254" s="577"/>
      <c r="P254" s="577"/>
      <c r="Q254" s="577"/>
      <c r="R254" s="577"/>
      <c r="S254" s="577"/>
      <c r="T254" s="577"/>
      <c r="U254" s="577"/>
      <c r="V254" s="577"/>
      <c r="W254" s="577"/>
      <c r="X254" s="577"/>
      <c r="Y254" s="577"/>
      <c r="Z254" s="577"/>
      <c r="AA254" s="577"/>
      <c r="AB254" s="577"/>
      <c r="AC254" s="583"/>
      <c r="AD254" s="355"/>
      <c r="AE254" s="358"/>
      <c r="AF254" s="355"/>
      <c r="AG254" s="383"/>
    </row>
    <row r="255" spans="1:33" s="339" customFormat="1" x14ac:dyDescent="0.2">
      <c r="A255" s="355"/>
      <c r="B255" s="355"/>
      <c r="C255" s="355"/>
      <c r="D255" s="355"/>
      <c r="E255" s="355"/>
      <c r="F255" s="577"/>
      <c r="G255" s="355"/>
      <c r="H255" s="399"/>
      <c r="I255" s="355"/>
      <c r="J255" s="355"/>
      <c r="K255" s="355"/>
      <c r="L255" s="355"/>
      <c r="M255" s="577"/>
      <c r="N255" s="577"/>
      <c r="O255" s="577"/>
      <c r="P255" s="577"/>
      <c r="Q255" s="577"/>
      <c r="R255" s="577"/>
      <c r="S255" s="577"/>
      <c r="T255" s="577"/>
      <c r="U255" s="577"/>
      <c r="V255" s="577"/>
      <c r="W255" s="577"/>
      <c r="X255" s="577"/>
      <c r="Y255" s="577"/>
      <c r="Z255" s="577"/>
      <c r="AA255" s="577"/>
      <c r="AB255" s="577"/>
      <c r="AC255" s="583"/>
      <c r="AD255" s="355"/>
      <c r="AE255" s="358"/>
      <c r="AF255" s="355"/>
      <c r="AG255" s="383"/>
    </row>
    <row r="256" spans="1:33" s="339" customFormat="1" x14ac:dyDescent="0.2">
      <c r="A256" s="355"/>
      <c r="B256" s="355"/>
      <c r="C256" s="355"/>
      <c r="D256" s="355"/>
      <c r="E256" s="355"/>
      <c r="F256" s="577"/>
      <c r="G256" s="355"/>
      <c r="H256" s="399"/>
      <c r="I256" s="355"/>
      <c r="J256" s="355"/>
      <c r="K256" s="355"/>
      <c r="L256" s="355"/>
      <c r="M256" s="577"/>
      <c r="N256" s="577"/>
      <c r="O256" s="577"/>
      <c r="P256" s="577"/>
      <c r="Q256" s="577"/>
      <c r="R256" s="577"/>
      <c r="S256" s="577"/>
      <c r="T256" s="577"/>
      <c r="U256" s="577"/>
      <c r="V256" s="577"/>
      <c r="W256" s="577"/>
      <c r="X256" s="577"/>
      <c r="Y256" s="577"/>
      <c r="Z256" s="577"/>
      <c r="AA256" s="577"/>
      <c r="AB256" s="577"/>
      <c r="AC256" s="583"/>
      <c r="AD256" s="355"/>
      <c r="AE256" s="358"/>
      <c r="AF256" s="355"/>
      <c r="AG256" s="383"/>
    </row>
    <row r="257" spans="1:33" s="339" customFormat="1" x14ac:dyDescent="0.2">
      <c r="A257" s="355"/>
      <c r="B257" s="355"/>
      <c r="C257" s="355"/>
      <c r="D257" s="355"/>
      <c r="E257" s="355"/>
      <c r="F257" s="577"/>
      <c r="G257" s="355"/>
      <c r="H257" s="399"/>
      <c r="I257" s="355"/>
      <c r="J257" s="355"/>
      <c r="K257" s="355"/>
      <c r="L257" s="355"/>
      <c r="M257" s="577"/>
      <c r="N257" s="577"/>
      <c r="O257" s="577"/>
      <c r="P257" s="577"/>
      <c r="Q257" s="577"/>
      <c r="R257" s="577"/>
      <c r="S257" s="577"/>
      <c r="T257" s="577"/>
      <c r="U257" s="577"/>
      <c r="V257" s="577"/>
      <c r="W257" s="577"/>
      <c r="X257" s="577"/>
      <c r="Y257" s="577"/>
      <c r="Z257" s="577"/>
      <c r="AA257" s="577"/>
      <c r="AB257" s="577"/>
      <c r="AC257" s="583"/>
      <c r="AD257" s="355"/>
      <c r="AE257" s="358"/>
      <c r="AF257" s="355"/>
      <c r="AG257" s="383"/>
    </row>
    <row r="258" spans="1:33" s="339" customFormat="1" x14ac:dyDescent="0.2">
      <c r="A258" s="355"/>
      <c r="B258" s="355"/>
      <c r="C258" s="355"/>
      <c r="D258" s="355"/>
      <c r="E258" s="355"/>
      <c r="F258" s="577"/>
      <c r="G258" s="355"/>
      <c r="H258" s="399"/>
      <c r="I258" s="355"/>
      <c r="J258" s="355"/>
      <c r="K258" s="355"/>
      <c r="L258" s="355"/>
      <c r="M258" s="577"/>
      <c r="N258" s="577"/>
      <c r="O258" s="577"/>
      <c r="P258" s="577"/>
      <c r="Q258" s="577"/>
      <c r="R258" s="577"/>
      <c r="S258" s="577"/>
      <c r="T258" s="577"/>
      <c r="U258" s="577"/>
      <c r="V258" s="577"/>
      <c r="W258" s="577"/>
      <c r="X258" s="577"/>
      <c r="Y258" s="577"/>
      <c r="Z258" s="577"/>
      <c r="AA258" s="577"/>
      <c r="AB258" s="577"/>
      <c r="AC258" s="583"/>
      <c r="AD258" s="355"/>
      <c r="AE258" s="358"/>
      <c r="AF258" s="355"/>
      <c r="AG258" s="383"/>
    </row>
    <row r="259" spans="1:33" s="339" customFormat="1" x14ac:dyDescent="0.2">
      <c r="A259" s="355"/>
      <c r="B259" s="355"/>
      <c r="C259" s="355"/>
      <c r="D259" s="355"/>
      <c r="E259" s="355"/>
      <c r="F259" s="577"/>
      <c r="G259" s="355"/>
      <c r="H259" s="399"/>
      <c r="I259" s="355"/>
      <c r="J259" s="355"/>
      <c r="K259" s="355"/>
      <c r="L259" s="355"/>
      <c r="M259" s="577"/>
      <c r="N259" s="577"/>
      <c r="O259" s="577"/>
      <c r="P259" s="577"/>
      <c r="Q259" s="577"/>
      <c r="R259" s="577"/>
      <c r="S259" s="577"/>
      <c r="T259" s="577"/>
      <c r="U259" s="577"/>
      <c r="V259" s="577"/>
      <c r="W259" s="577"/>
      <c r="X259" s="577"/>
      <c r="Y259" s="577"/>
      <c r="Z259" s="577"/>
      <c r="AA259" s="577"/>
      <c r="AB259" s="577"/>
      <c r="AC259" s="583"/>
      <c r="AD259" s="355"/>
      <c r="AE259" s="358"/>
      <c r="AF259" s="355"/>
      <c r="AG259" s="383"/>
    </row>
    <row r="260" spans="1:33" s="339" customFormat="1" x14ac:dyDescent="0.2">
      <c r="A260" s="355"/>
      <c r="B260" s="355"/>
      <c r="C260" s="355"/>
      <c r="D260" s="355"/>
      <c r="E260" s="355"/>
      <c r="F260" s="577"/>
      <c r="G260" s="355"/>
      <c r="H260" s="399"/>
      <c r="I260" s="355"/>
      <c r="J260" s="355"/>
      <c r="K260" s="355"/>
      <c r="L260" s="355"/>
      <c r="M260" s="577"/>
      <c r="N260" s="577"/>
      <c r="O260" s="577"/>
      <c r="P260" s="577"/>
      <c r="Q260" s="577"/>
      <c r="R260" s="577"/>
      <c r="S260" s="577"/>
      <c r="T260" s="577"/>
      <c r="U260" s="577"/>
      <c r="V260" s="577"/>
      <c r="W260" s="577"/>
      <c r="X260" s="577"/>
      <c r="Y260" s="577"/>
      <c r="Z260" s="577"/>
      <c r="AA260" s="577"/>
      <c r="AB260" s="577"/>
      <c r="AC260" s="583"/>
      <c r="AD260" s="355"/>
      <c r="AE260" s="358"/>
      <c r="AF260" s="355"/>
      <c r="AG260" s="383"/>
    </row>
    <row r="261" spans="1:33" s="339" customFormat="1" x14ac:dyDescent="0.2">
      <c r="A261" s="355"/>
      <c r="B261" s="355"/>
      <c r="C261" s="355"/>
      <c r="D261" s="355"/>
      <c r="E261" s="355"/>
      <c r="F261" s="577"/>
      <c r="G261" s="355"/>
      <c r="H261" s="399"/>
      <c r="I261" s="355"/>
      <c r="J261" s="355"/>
      <c r="K261" s="355"/>
      <c r="L261" s="355"/>
      <c r="M261" s="577"/>
      <c r="N261" s="577"/>
      <c r="O261" s="577"/>
      <c r="P261" s="577"/>
      <c r="Q261" s="577"/>
      <c r="R261" s="577"/>
      <c r="S261" s="577"/>
      <c r="T261" s="577"/>
      <c r="U261" s="577"/>
      <c r="V261" s="577"/>
      <c r="W261" s="577"/>
      <c r="X261" s="577"/>
      <c r="Y261" s="577"/>
      <c r="Z261" s="577"/>
      <c r="AA261" s="577"/>
      <c r="AB261" s="577"/>
      <c r="AC261" s="583"/>
      <c r="AD261" s="355"/>
      <c r="AE261" s="358"/>
      <c r="AF261" s="355"/>
      <c r="AG261" s="383"/>
    </row>
    <row r="262" spans="1:33" s="339" customFormat="1" x14ac:dyDescent="0.2">
      <c r="A262" s="355"/>
      <c r="B262" s="355"/>
      <c r="C262" s="355"/>
      <c r="D262" s="355"/>
      <c r="E262" s="355"/>
      <c r="F262" s="577"/>
      <c r="G262" s="355"/>
      <c r="H262" s="399"/>
      <c r="I262" s="355"/>
      <c r="J262" s="355"/>
      <c r="K262" s="355"/>
      <c r="L262" s="355"/>
      <c r="M262" s="577"/>
      <c r="N262" s="577"/>
      <c r="O262" s="577"/>
      <c r="P262" s="577"/>
      <c r="Q262" s="577"/>
      <c r="R262" s="577"/>
      <c r="S262" s="577"/>
      <c r="T262" s="577"/>
      <c r="U262" s="577"/>
      <c r="V262" s="577"/>
      <c r="W262" s="577"/>
      <c r="X262" s="577"/>
      <c r="Y262" s="577"/>
      <c r="Z262" s="577"/>
      <c r="AA262" s="577"/>
      <c r="AB262" s="577"/>
      <c r="AC262" s="583"/>
      <c r="AD262" s="355"/>
      <c r="AE262" s="358"/>
      <c r="AF262" s="355"/>
    </row>
    <row r="263" spans="1:33" s="339" customFormat="1" x14ac:dyDescent="0.2">
      <c r="A263" s="355"/>
      <c r="B263" s="355"/>
      <c r="C263" s="355"/>
      <c r="D263" s="355"/>
      <c r="E263" s="355"/>
      <c r="F263" s="577"/>
      <c r="G263" s="355"/>
      <c r="H263" s="399"/>
      <c r="I263" s="355"/>
      <c r="J263" s="355"/>
      <c r="K263" s="355"/>
      <c r="L263" s="355"/>
      <c r="M263" s="577"/>
      <c r="N263" s="577"/>
      <c r="O263" s="577"/>
      <c r="P263" s="577"/>
      <c r="Q263" s="577"/>
      <c r="R263" s="577"/>
      <c r="S263" s="577"/>
      <c r="T263" s="577"/>
      <c r="U263" s="577"/>
      <c r="V263" s="577"/>
      <c r="W263" s="577"/>
      <c r="X263" s="577"/>
      <c r="Y263" s="577"/>
      <c r="Z263" s="577"/>
      <c r="AA263" s="577"/>
      <c r="AB263" s="577"/>
      <c r="AC263" s="583"/>
      <c r="AD263" s="355"/>
      <c r="AE263" s="358"/>
      <c r="AF263" s="355"/>
    </row>
    <row r="264" spans="1:33" s="339" customFormat="1" x14ac:dyDescent="0.2">
      <c r="A264" s="355"/>
      <c r="B264" s="355"/>
      <c r="C264" s="355"/>
      <c r="D264" s="355"/>
      <c r="E264" s="355"/>
      <c r="F264" s="577"/>
      <c r="G264" s="355"/>
      <c r="H264" s="399"/>
      <c r="I264" s="355"/>
      <c r="J264" s="355"/>
      <c r="K264" s="355"/>
      <c r="L264" s="355"/>
      <c r="M264" s="577"/>
      <c r="N264" s="577"/>
      <c r="O264" s="577"/>
      <c r="P264" s="577"/>
      <c r="Q264" s="577"/>
      <c r="R264" s="577"/>
      <c r="S264" s="577"/>
      <c r="T264" s="577"/>
      <c r="U264" s="577"/>
      <c r="V264" s="577"/>
      <c r="W264" s="577"/>
      <c r="X264" s="577"/>
      <c r="Y264" s="577"/>
      <c r="Z264" s="577"/>
      <c r="AA264" s="577"/>
      <c r="AB264" s="577"/>
      <c r="AC264" s="583"/>
      <c r="AD264" s="355"/>
      <c r="AE264" s="358"/>
      <c r="AF264" s="355"/>
    </row>
    <row r="265" spans="1:33" s="339" customFormat="1" x14ac:dyDescent="0.2">
      <c r="A265" s="355"/>
      <c r="B265" s="355"/>
      <c r="C265" s="355"/>
      <c r="D265" s="355"/>
      <c r="E265" s="355"/>
      <c r="F265" s="577"/>
      <c r="G265" s="355"/>
      <c r="H265" s="399"/>
      <c r="I265" s="355"/>
      <c r="J265" s="355"/>
      <c r="K265" s="355"/>
      <c r="L265" s="355"/>
      <c r="M265" s="577"/>
      <c r="N265" s="577"/>
      <c r="O265" s="577"/>
      <c r="P265" s="577"/>
      <c r="Q265" s="577"/>
      <c r="R265" s="577"/>
      <c r="S265" s="577"/>
      <c r="T265" s="577"/>
      <c r="U265" s="577"/>
      <c r="V265" s="577"/>
      <c r="W265" s="577"/>
      <c r="X265" s="577"/>
      <c r="Y265" s="577"/>
      <c r="Z265" s="577"/>
      <c r="AA265" s="577"/>
      <c r="AB265" s="577"/>
      <c r="AC265" s="583"/>
      <c r="AD265" s="355"/>
      <c r="AE265" s="358"/>
      <c r="AF265" s="355"/>
    </row>
    <row r="266" spans="1:33" s="339" customFormat="1" x14ac:dyDescent="0.2">
      <c r="A266" s="355"/>
      <c r="B266" s="355"/>
      <c r="C266" s="355"/>
      <c r="D266" s="355"/>
      <c r="E266" s="355"/>
      <c r="F266" s="577"/>
      <c r="G266" s="355"/>
      <c r="H266" s="399"/>
      <c r="I266" s="355"/>
      <c r="J266" s="355"/>
      <c r="K266" s="355"/>
      <c r="L266" s="355"/>
      <c r="M266" s="577"/>
      <c r="N266" s="577"/>
      <c r="O266" s="577"/>
      <c r="P266" s="577"/>
      <c r="Q266" s="577"/>
      <c r="R266" s="577"/>
      <c r="S266" s="577"/>
      <c r="T266" s="577"/>
      <c r="U266" s="577"/>
      <c r="V266" s="577"/>
      <c r="W266" s="577"/>
      <c r="X266" s="577"/>
      <c r="Y266" s="577"/>
      <c r="Z266" s="577"/>
      <c r="AA266" s="577"/>
      <c r="AB266" s="577"/>
      <c r="AC266" s="583"/>
      <c r="AD266" s="355"/>
      <c r="AE266" s="358"/>
      <c r="AF266" s="355"/>
    </row>
    <row r="267" spans="1:33" s="339" customFormat="1" x14ac:dyDescent="0.2">
      <c r="A267" s="355"/>
      <c r="B267" s="355"/>
      <c r="C267" s="355"/>
      <c r="D267" s="355"/>
      <c r="E267" s="355"/>
      <c r="F267" s="577"/>
      <c r="G267" s="355"/>
      <c r="H267" s="399"/>
      <c r="I267" s="355"/>
      <c r="J267" s="355"/>
      <c r="K267" s="355"/>
      <c r="L267" s="355"/>
      <c r="M267" s="577"/>
      <c r="N267" s="577"/>
      <c r="O267" s="577"/>
      <c r="P267" s="577"/>
      <c r="Q267" s="577"/>
      <c r="R267" s="577"/>
      <c r="S267" s="577"/>
      <c r="T267" s="577"/>
      <c r="U267" s="577"/>
      <c r="V267" s="577"/>
      <c r="W267" s="577"/>
      <c r="X267" s="577"/>
      <c r="Y267" s="577"/>
      <c r="Z267" s="577"/>
      <c r="AA267" s="577"/>
      <c r="AB267" s="577"/>
      <c r="AC267" s="583"/>
      <c r="AD267" s="355"/>
      <c r="AE267" s="358"/>
      <c r="AF267" s="355"/>
    </row>
    <row r="268" spans="1:33" s="339" customFormat="1" x14ac:dyDescent="0.2">
      <c r="A268" s="355"/>
      <c r="B268" s="355"/>
      <c r="C268" s="355"/>
      <c r="D268" s="355"/>
      <c r="E268" s="355"/>
      <c r="F268" s="577"/>
      <c r="G268" s="355"/>
      <c r="H268" s="399"/>
      <c r="I268" s="355"/>
      <c r="J268" s="355"/>
      <c r="K268" s="355"/>
      <c r="L268" s="355"/>
      <c r="M268" s="577"/>
      <c r="N268" s="577"/>
      <c r="O268" s="577"/>
      <c r="P268" s="577"/>
      <c r="Q268" s="577"/>
      <c r="R268" s="577"/>
      <c r="S268" s="577"/>
      <c r="T268" s="577"/>
      <c r="U268" s="577"/>
      <c r="V268" s="577"/>
      <c r="W268" s="577"/>
      <c r="X268" s="577"/>
      <c r="Y268" s="577"/>
      <c r="Z268" s="577"/>
      <c r="AA268" s="577"/>
      <c r="AB268" s="577"/>
      <c r="AC268" s="583"/>
      <c r="AD268" s="355"/>
      <c r="AE268" s="358"/>
      <c r="AF268" s="355"/>
    </row>
    <row r="269" spans="1:33" s="339" customFormat="1" x14ac:dyDescent="0.2">
      <c r="A269" s="355"/>
      <c r="B269" s="355"/>
      <c r="C269" s="355"/>
      <c r="D269" s="355"/>
      <c r="E269" s="355"/>
      <c r="F269" s="577"/>
      <c r="G269" s="355"/>
      <c r="H269" s="399"/>
      <c r="I269" s="355"/>
      <c r="J269" s="355"/>
      <c r="K269" s="355"/>
      <c r="L269" s="355"/>
      <c r="M269" s="577"/>
      <c r="N269" s="577"/>
      <c r="O269" s="577"/>
      <c r="P269" s="577"/>
      <c r="Q269" s="577"/>
      <c r="R269" s="577"/>
      <c r="S269" s="577"/>
      <c r="T269" s="577"/>
      <c r="U269" s="577"/>
      <c r="V269" s="577"/>
      <c r="W269" s="577"/>
      <c r="X269" s="577"/>
      <c r="Y269" s="577"/>
      <c r="Z269" s="577"/>
      <c r="AA269" s="577"/>
      <c r="AB269" s="577"/>
      <c r="AC269" s="583"/>
      <c r="AD269" s="355"/>
      <c r="AE269" s="358"/>
      <c r="AF269" s="355"/>
    </row>
    <row r="270" spans="1:33" s="339" customFormat="1" x14ac:dyDescent="0.2">
      <c r="A270" s="355"/>
      <c r="B270" s="355"/>
      <c r="C270" s="355"/>
      <c r="D270" s="355"/>
      <c r="E270" s="355"/>
      <c r="F270" s="577"/>
      <c r="G270" s="355"/>
      <c r="H270" s="399"/>
      <c r="I270" s="355"/>
      <c r="J270" s="355"/>
      <c r="K270" s="355"/>
      <c r="L270" s="355"/>
      <c r="M270" s="577"/>
      <c r="N270" s="577"/>
      <c r="O270" s="577"/>
      <c r="P270" s="577"/>
      <c r="Q270" s="577"/>
      <c r="R270" s="577"/>
      <c r="S270" s="577"/>
      <c r="T270" s="577"/>
      <c r="U270" s="577"/>
      <c r="V270" s="577"/>
      <c r="W270" s="577"/>
      <c r="X270" s="577"/>
      <c r="Y270" s="577"/>
      <c r="Z270" s="577"/>
      <c r="AA270" s="577"/>
      <c r="AB270" s="577"/>
      <c r="AC270" s="583"/>
      <c r="AD270" s="355"/>
      <c r="AE270" s="358"/>
      <c r="AF270" s="355"/>
    </row>
    <row r="271" spans="1:33" s="339" customFormat="1" x14ac:dyDescent="0.2">
      <c r="A271" s="355"/>
      <c r="B271" s="355"/>
      <c r="C271" s="355"/>
      <c r="D271" s="355"/>
      <c r="E271" s="355"/>
      <c r="F271" s="577"/>
      <c r="G271" s="355"/>
      <c r="H271" s="399"/>
      <c r="I271" s="355"/>
      <c r="J271" s="355"/>
      <c r="K271" s="355"/>
      <c r="L271" s="355"/>
      <c r="M271" s="577"/>
      <c r="N271" s="577"/>
      <c r="O271" s="577"/>
      <c r="P271" s="577"/>
      <c r="Q271" s="577"/>
      <c r="R271" s="577"/>
      <c r="S271" s="577"/>
      <c r="T271" s="577"/>
      <c r="U271" s="577"/>
      <c r="V271" s="577"/>
      <c r="W271" s="577"/>
      <c r="X271" s="577"/>
      <c r="Y271" s="577"/>
      <c r="Z271" s="577"/>
      <c r="AA271" s="577"/>
      <c r="AB271" s="577"/>
      <c r="AC271" s="583"/>
      <c r="AD271" s="355"/>
      <c r="AE271" s="358"/>
      <c r="AF271" s="355"/>
    </row>
    <row r="272" spans="1:33" s="339" customFormat="1" x14ac:dyDescent="0.2">
      <c r="A272" s="355"/>
      <c r="B272" s="355"/>
      <c r="C272" s="355"/>
      <c r="D272" s="355"/>
      <c r="E272" s="355"/>
      <c r="F272" s="577"/>
      <c r="G272" s="355"/>
      <c r="H272" s="399"/>
      <c r="I272" s="355"/>
      <c r="J272" s="355"/>
      <c r="K272" s="355"/>
      <c r="L272" s="355"/>
      <c r="M272" s="577"/>
      <c r="N272" s="577"/>
      <c r="O272" s="577"/>
      <c r="P272" s="577"/>
      <c r="Q272" s="577"/>
      <c r="R272" s="577"/>
      <c r="S272" s="577"/>
      <c r="T272" s="577"/>
      <c r="U272" s="577"/>
      <c r="V272" s="577"/>
      <c r="W272" s="577"/>
      <c r="X272" s="577"/>
      <c r="Y272" s="577"/>
      <c r="Z272" s="577"/>
      <c r="AA272" s="577"/>
      <c r="AB272" s="577"/>
      <c r="AC272" s="583"/>
      <c r="AD272" s="355"/>
      <c r="AE272" s="358"/>
      <c r="AF272" s="355"/>
    </row>
    <row r="273" spans="1:34" s="339" customFormat="1" x14ac:dyDescent="0.2">
      <c r="A273" s="355"/>
      <c r="B273" s="355"/>
      <c r="C273" s="355"/>
      <c r="D273" s="355"/>
      <c r="E273" s="355"/>
      <c r="F273" s="577"/>
      <c r="G273" s="355"/>
      <c r="H273" s="399"/>
      <c r="I273" s="355"/>
      <c r="J273" s="355"/>
      <c r="K273" s="355"/>
      <c r="L273" s="355"/>
      <c r="M273" s="577"/>
      <c r="N273" s="577"/>
      <c r="O273" s="577"/>
      <c r="P273" s="577"/>
      <c r="Q273" s="577"/>
      <c r="R273" s="577"/>
      <c r="S273" s="577"/>
      <c r="T273" s="577"/>
      <c r="U273" s="577"/>
      <c r="V273" s="577"/>
      <c r="W273" s="577"/>
      <c r="X273" s="577"/>
      <c r="Y273" s="577"/>
      <c r="Z273" s="577"/>
      <c r="AA273" s="577"/>
      <c r="AB273" s="577"/>
      <c r="AC273" s="583"/>
      <c r="AD273" s="355"/>
      <c r="AE273" s="358"/>
      <c r="AF273" s="355"/>
    </row>
    <row r="274" spans="1:34" s="339" customFormat="1" x14ac:dyDescent="0.2">
      <c r="A274" s="355"/>
      <c r="B274" s="355"/>
      <c r="C274" s="355"/>
      <c r="D274" s="355"/>
      <c r="E274" s="355"/>
      <c r="F274" s="577"/>
      <c r="G274" s="355"/>
      <c r="H274" s="399"/>
      <c r="I274" s="355"/>
      <c r="J274" s="355"/>
      <c r="K274" s="355"/>
      <c r="L274" s="355"/>
      <c r="M274" s="577"/>
      <c r="N274" s="577"/>
      <c r="O274" s="577"/>
      <c r="P274" s="577"/>
      <c r="Q274" s="577"/>
      <c r="R274" s="577"/>
      <c r="S274" s="577"/>
      <c r="T274" s="577"/>
      <c r="U274" s="577"/>
      <c r="V274" s="577"/>
      <c r="W274" s="577"/>
      <c r="X274" s="577"/>
      <c r="Y274" s="577"/>
      <c r="Z274" s="577"/>
      <c r="AA274" s="577"/>
      <c r="AB274" s="577"/>
      <c r="AC274" s="583"/>
      <c r="AD274" s="355"/>
      <c r="AE274" s="358"/>
      <c r="AF274" s="355"/>
    </row>
    <row r="275" spans="1:34" s="339" customFormat="1" x14ac:dyDescent="0.2">
      <c r="A275" s="355"/>
      <c r="B275" s="355"/>
      <c r="C275" s="355"/>
      <c r="D275" s="355"/>
      <c r="E275" s="355"/>
      <c r="F275" s="577"/>
      <c r="G275" s="355"/>
      <c r="H275" s="399"/>
      <c r="I275" s="355"/>
      <c r="J275" s="355"/>
      <c r="K275" s="355"/>
      <c r="L275" s="355"/>
      <c r="M275" s="577"/>
      <c r="N275" s="577"/>
      <c r="O275" s="577"/>
      <c r="P275" s="577"/>
      <c r="Q275" s="577"/>
      <c r="R275" s="577"/>
      <c r="S275" s="577"/>
      <c r="T275" s="577"/>
      <c r="U275" s="577"/>
      <c r="V275" s="577"/>
      <c r="W275" s="577"/>
      <c r="X275" s="577"/>
      <c r="Y275" s="577"/>
      <c r="Z275" s="577"/>
      <c r="AA275" s="577"/>
      <c r="AB275" s="577"/>
      <c r="AC275" s="583"/>
      <c r="AD275" s="355"/>
      <c r="AE275" s="358"/>
      <c r="AF275" s="355"/>
    </row>
    <row r="276" spans="1:34" s="339" customFormat="1" x14ac:dyDescent="0.2">
      <c r="A276" s="355"/>
      <c r="B276" s="355"/>
      <c r="C276" s="355"/>
      <c r="D276" s="355"/>
      <c r="E276" s="355"/>
      <c r="F276" s="577"/>
      <c r="G276" s="355"/>
      <c r="H276" s="399"/>
      <c r="I276" s="355"/>
      <c r="J276" s="355"/>
      <c r="K276" s="355"/>
      <c r="L276" s="355"/>
      <c r="M276" s="577"/>
      <c r="N276" s="577"/>
      <c r="O276" s="577"/>
      <c r="P276" s="577"/>
      <c r="Q276" s="577"/>
      <c r="R276" s="577"/>
      <c r="S276" s="577"/>
      <c r="T276" s="577"/>
      <c r="U276" s="577"/>
      <c r="V276" s="577"/>
      <c r="W276" s="577"/>
      <c r="X276" s="577"/>
      <c r="Y276" s="577"/>
      <c r="Z276" s="577"/>
      <c r="AA276" s="577"/>
      <c r="AB276" s="577"/>
      <c r="AC276" s="583"/>
      <c r="AD276" s="355"/>
      <c r="AE276" s="358"/>
      <c r="AF276" s="355"/>
    </row>
    <row r="277" spans="1:34" s="339" customFormat="1" x14ac:dyDescent="0.2">
      <c r="A277" s="355"/>
      <c r="B277" s="355"/>
      <c r="C277" s="355"/>
      <c r="D277" s="355"/>
      <c r="E277" s="355"/>
      <c r="F277" s="577"/>
      <c r="G277" s="355"/>
      <c r="H277" s="399"/>
      <c r="I277" s="355"/>
      <c r="J277" s="355"/>
      <c r="K277" s="355"/>
      <c r="L277" s="355"/>
      <c r="M277" s="577"/>
      <c r="N277" s="577"/>
      <c r="O277" s="577"/>
      <c r="P277" s="577"/>
      <c r="Q277" s="577"/>
      <c r="R277" s="577"/>
      <c r="S277" s="577"/>
      <c r="T277" s="577"/>
      <c r="U277" s="577"/>
      <c r="V277" s="577"/>
      <c r="W277" s="577"/>
      <c r="X277" s="577"/>
      <c r="Y277" s="577"/>
      <c r="Z277" s="577"/>
      <c r="AA277" s="577"/>
      <c r="AB277" s="577"/>
      <c r="AC277" s="583"/>
      <c r="AD277" s="355"/>
      <c r="AE277" s="358"/>
      <c r="AF277" s="355"/>
    </row>
    <row r="278" spans="1:34" s="339" customFormat="1" x14ac:dyDescent="0.2">
      <c r="A278" s="355"/>
      <c r="B278" s="355"/>
      <c r="C278" s="355"/>
      <c r="D278" s="355"/>
      <c r="E278" s="355"/>
      <c r="F278" s="577"/>
      <c r="G278" s="355"/>
      <c r="H278" s="399"/>
      <c r="I278" s="355"/>
      <c r="J278" s="355"/>
      <c r="K278" s="355"/>
      <c r="L278" s="355"/>
      <c r="M278" s="577"/>
      <c r="N278" s="577"/>
      <c r="O278" s="577"/>
      <c r="P278" s="577"/>
      <c r="Q278" s="577"/>
      <c r="R278" s="577"/>
      <c r="S278" s="577"/>
      <c r="T278" s="577"/>
      <c r="U278" s="577"/>
      <c r="V278" s="577"/>
      <c r="W278" s="577"/>
      <c r="X278" s="577"/>
      <c r="Y278" s="577"/>
      <c r="Z278" s="577"/>
      <c r="AA278" s="577"/>
      <c r="AB278" s="577"/>
      <c r="AC278" s="583"/>
      <c r="AD278" s="355"/>
      <c r="AE278" s="358"/>
      <c r="AF278" s="355"/>
    </row>
    <row r="279" spans="1:34" s="339" customFormat="1" x14ac:dyDescent="0.2">
      <c r="A279" s="355"/>
      <c r="B279" s="355"/>
      <c r="C279" s="355"/>
      <c r="D279" s="355"/>
      <c r="E279" s="355"/>
      <c r="F279" s="577"/>
      <c r="G279" s="355"/>
      <c r="H279" s="399"/>
      <c r="I279" s="355"/>
      <c r="J279" s="355"/>
      <c r="K279" s="355"/>
      <c r="L279" s="355"/>
      <c r="M279" s="577"/>
      <c r="N279" s="577"/>
      <c r="O279" s="577"/>
      <c r="P279" s="577"/>
      <c r="Q279" s="577"/>
      <c r="R279" s="577"/>
      <c r="S279" s="577"/>
      <c r="T279" s="577"/>
      <c r="U279" s="577"/>
      <c r="V279" s="577"/>
      <c r="W279" s="577"/>
      <c r="X279" s="577"/>
      <c r="Y279" s="577"/>
      <c r="Z279" s="577"/>
      <c r="AA279" s="577"/>
      <c r="AB279" s="577"/>
      <c r="AC279" s="583"/>
      <c r="AD279" s="355"/>
      <c r="AE279" s="358"/>
      <c r="AF279" s="355"/>
      <c r="AH279" s="378"/>
    </row>
    <row r="280" spans="1:34" s="339" customFormat="1" x14ac:dyDescent="0.2">
      <c r="A280" s="355"/>
      <c r="B280" s="355"/>
      <c r="C280" s="355"/>
      <c r="D280" s="355"/>
      <c r="E280" s="355"/>
      <c r="F280" s="577"/>
      <c r="G280" s="355"/>
      <c r="H280" s="399"/>
      <c r="I280" s="355"/>
      <c r="J280" s="355"/>
      <c r="K280" s="355"/>
      <c r="L280" s="355"/>
      <c r="M280" s="577"/>
      <c r="N280" s="577"/>
      <c r="O280" s="577"/>
      <c r="P280" s="577"/>
      <c r="Q280" s="577"/>
      <c r="R280" s="577"/>
      <c r="S280" s="577"/>
      <c r="T280" s="577"/>
      <c r="U280" s="577"/>
      <c r="V280" s="577"/>
      <c r="W280" s="577"/>
      <c r="X280" s="577"/>
      <c r="Y280" s="577"/>
      <c r="Z280" s="577"/>
      <c r="AA280" s="577"/>
      <c r="AB280" s="577"/>
      <c r="AC280" s="583"/>
      <c r="AD280" s="355"/>
      <c r="AE280" s="358"/>
      <c r="AF280" s="355"/>
      <c r="AG280" s="384"/>
      <c r="AH280" s="378"/>
    </row>
    <row r="281" spans="1:34" s="339" customFormat="1" x14ac:dyDescent="0.2">
      <c r="A281" s="355"/>
      <c r="B281" s="355"/>
      <c r="C281" s="355"/>
      <c r="D281" s="355"/>
      <c r="E281" s="355"/>
      <c r="F281" s="577"/>
      <c r="G281" s="355"/>
      <c r="H281" s="399"/>
      <c r="I281" s="355"/>
      <c r="J281" s="355"/>
      <c r="K281" s="355"/>
      <c r="L281" s="355"/>
      <c r="M281" s="577"/>
      <c r="N281" s="577"/>
      <c r="O281" s="577"/>
      <c r="P281" s="577"/>
      <c r="Q281" s="577"/>
      <c r="R281" s="577"/>
      <c r="S281" s="577"/>
      <c r="T281" s="577"/>
      <c r="U281" s="577"/>
      <c r="V281" s="577"/>
      <c r="W281" s="577"/>
      <c r="X281" s="577"/>
      <c r="Y281" s="577"/>
      <c r="Z281" s="577"/>
      <c r="AA281" s="577"/>
      <c r="AB281" s="577"/>
      <c r="AC281" s="583"/>
      <c r="AD281" s="355"/>
      <c r="AE281" s="358"/>
      <c r="AF281" s="355"/>
      <c r="AG281" s="384"/>
      <c r="AH281" s="380"/>
    </row>
    <row r="282" spans="1:34" s="339" customFormat="1" x14ac:dyDescent="0.2">
      <c r="A282" s="355"/>
      <c r="B282" s="355"/>
      <c r="C282" s="355"/>
      <c r="D282" s="355"/>
      <c r="E282" s="355"/>
      <c r="F282" s="577"/>
      <c r="G282" s="355"/>
      <c r="H282" s="399"/>
      <c r="I282" s="355"/>
      <c r="J282" s="355"/>
      <c r="K282" s="355"/>
      <c r="L282" s="355"/>
      <c r="M282" s="577"/>
      <c r="N282" s="577"/>
      <c r="O282" s="577"/>
      <c r="P282" s="577"/>
      <c r="Q282" s="577"/>
      <c r="R282" s="577"/>
      <c r="S282" s="577"/>
      <c r="T282" s="577"/>
      <c r="U282" s="577"/>
      <c r="V282" s="577"/>
      <c r="W282" s="577"/>
      <c r="X282" s="577"/>
      <c r="Y282" s="577"/>
      <c r="Z282" s="577"/>
      <c r="AA282" s="577"/>
      <c r="AB282" s="577"/>
      <c r="AC282" s="583"/>
      <c r="AD282" s="355"/>
      <c r="AE282" s="358"/>
      <c r="AF282" s="355"/>
      <c r="AG282" s="384"/>
      <c r="AH282" s="378"/>
    </row>
    <row r="283" spans="1:34" s="339" customFormat="1" ht="14.25" customHeight="1" x14ac:dyDescent="0.2">
      <c r="A283" s="355"/>
      <c r="B283" s="355"/>
      <c r="C283" s="355"/>
      <c r="D283" s="355"/>
      <c r="E283" s="355"/>
      <c r="F283" s="577"/>
      <c r="G283" s="355"/>
      <c r="H283" s="399"/>
      <c r="I283" s="355"/>
      <c r="J283" s="355"/>
      <c r="K283" s="355"/>
      <c r="L283" s="355"/>
      <c r="M283" s="577"/>
      <c r="N283" s="577"/>
      <c r="O283" s="577"/>
      <c r="P283" s="577"/>
      <c r="Q283" s="577"/>
      <c r="R283" s="577"/>
      <c r="S283" s="577"/>
      <c r="T283" s="577"/>
      <c r="U283" s="577"/>
      <c r="V283" s="577"/>
      <c r="W283" s="577"/>
      <c r="X283" s="577"/>
      <c r="Y283" s="577"/>
      <c r="Z283" s="577"/>
      <c r="AA283" s="577"/>
      <c r="AB283" s="577"/>
      <c r="AC283" s="583"/>
      <c r="AD283" s="355"/>
      <c r="AE283" s="358"/>
      <c r="AF283" s="355"/>
      <c r="AG283" s="384"/>
      <c r="AH283" s="377"/>
    </row>
    <row r="284" spans="1:34" s="339" customFormat="1" x14ac:dyDescent="0.2">
      <c r="A284" s="355"/>
      <c r="B284" s="355"/>
      <c r="C284" s="355"/>
      <c r="D284" s="355"/>
      <c r="E284" s="355"/>
      <c r="F284" s="577"/>
      <c r="G284" s="355"/>
      <c r="H284" s="399"/>
      <c r="I284" s="355"/>
      <c r="J284" s="355"/>
      <c r="K284" s="355"/>
      <c r="L284" s="355"/>
      <c r="M284" s="577"/>
      <c r="N284" s="577"/>
      <c r="O284" s="577"/>
      <c r="P284" s="577"/>
      <c r="Q284" s="577"/>
      <c r="R284" s="577"/>
      <c r="S284" s="577"/>
      <c r="T284" s="577"/>
      <c r="U284" s="577"/>
      <c r="V284" s="577"/>
      <c r="W284" s="577"/>
      <c r="X284" s="577"/>
      <c r="Y284" s="577"/>
      <c r="Z284" s="577"/>
      <c r="AA284" s="577"/>
      <c r="AB284" s="577"/>
      <c r="AC284" s="583"/>
      <c r="AD284" s="355"/>
      <c r="AE284" s="358"/>
      <c r="AF284" s="355"/>
      <c r="AH284" s="377"/>
    </row>
    <row r="285" spans="1:34" s="385" customFormat="1" ht="12" customHeight="1" x14ac:dyDescent="0.2">
      <c r="A285" s="355"/>
      <c r="B285" s="355"/>
      <c r="C285" s="355"/>
      <c r="D285" s="355"/>
      <c r="E285" s="355"/>
      <c r="F285" s="577"/>
      <c r="G285" s="355"/>
      <c r="H285" s="399"/>
      <c r="I285" s="355"/>
      <c r="J285" s="355"/>
      <c r="K285" s="355"/>
      <c r="L285" s="355"/>
      <c r="M285" s="577"/>
      <c r="N285" s="577"/>
      <c r="O285" s="577"/>
      <c r="P285" s="577"/>
      <c r="Q285" s="577"/>
      <c r="R285" s="577"/>
      <c r="S285" s="577"/>
      <c r="T285" s="577"/>
      <c r="U285" s="577"/>
      <c r="V285" s="577"/>
      <c r="W285" s="577"/>
      <c r="X285" s="577"/>
      <c r="Y285" s="577"/>
      <c r="Z285" s="577"/>
      <c r="AA285" s="577"/>
      <c r="AB285" s="577"/>
      <c r="AC285" s="583"/>
      <c r="AD285" s="355"/>
      <c r="AE285" s="358"/>
      <c r="AF285" s="355"/>
      <c r="AG285" s="339"/>
      <c r="AH285" s="378"/>
    </row>
    <row r="286" spans="1:34" s="339" customFormat="1" x14ac:dyDescent="0.2">
      <c r="A286" s="355"/>
      <c r="B286" s="355"/>
      <c r="C286" s="355"/>
      <c r="D286" s="355"/>
      <c r="E286" s="355"/>
      <c r="F286" s="577"/>
      <c r="G286" s="355"/>
      <c r="H286" s="399"/>
      <c r="I286" s="355"/>
      <c r="J286" s="355"/>
      <c r="K286" s="355"/>
      <c r="L286" s="355"/>
      <c r="M286" s="577"/>
      <c r="N286" s="577"/>
      <c r="O286" s="577"/>
      <c r="P286" s="577"/>
      <c r="Q286" s="577"/>
      <c r="R286" s="577"/>
      <c r="S286" s="577"/>
      <c r="T286" s="577"/>
      <c r="U286" s="577"/>
      <c r="V286" s="577"/>
      <c r="W286" s="577"/>
      <c r="X286" s="577"/>
      <c r="Y286" s="577"/>
      <c r="Z286" s="577"/>
      <c r="AA286" s="577"/>
      <c r="AB286" s="577"/>
      <c r="AC286" s="583"/>
      <c r="AD286" s="355"/>
      <c r="AE286" s="358"/>
      <c r="AF286" s="355"/>
      <c r="AH286" s="378"/>
    </row>
    <row r="287" spans="1:34" s="339" customFormat="1" ht="17.25" customHeight="1" x14ac:dyDescent="0.2">
      <c r="A287" s="355"/>
      <c r="B287" s="355"/>
      <c r="C287" s="355"/>
      <c r="D287" s="355"/>
      <c r="E287" s="355"/>
      <c r="F287" s="577"/>
      <c r="G287" s="355"/>
      <c r="H287" s="399"/>
      <c r="I287" s="355"/>
      <c r="J287" s="355"/>
      <c r="K287" s="355"/>
      <c r="L287" s="355"/>
      <c r="M287" s="577"/>
      <c r="N287" s="577"/>
      <c r="O287" s="577"/>
      <c r="P287" s="577"/>
      <c r="Q287" s="577"/>
      <c r="R287" s="577"/>
      <c r="S287" s="577"/>
      <c r="T287" s="577"/>
      <c r="U287" s="577"/>
      <c r="V287" s="577"/>
      <c r="W287" s="577"/>
      <c r="X287" s="577"/>
      <c r="Y287" s="577"/>
      <c r="Z287" s="577"/>
      <c r="AA287" s="577"/>
      <c r="AB287" s="577"/>
      <c r="AC287" s="583"/>
      <c r="AD287" s="355"/>
      <c r="AE287" s="358"/>
      <c r="AF287" s="355"/>
      <c r="AH287" s="378"/>
    </row>
    <row r="288" spans="1:34" s="339" customFormat="1" x14ac:dyDescent="0.2">
      <c r="A288" s="355"/>
      <c r="B288" s="355"/>
      <c r="C288" s="355"/>
      <c r="D288" s="355"/>
      <c r="E288" s="355"/>
      <c r="F288" s="577"/>
      <c r="G288" s="355"/>
      <c r="H288" s="399"/>
      <c r="I288" s="355"/>
      <c r="J288" s="355"/>
      <c r="K288" s="355"/>
      <c r="L288" s="355"/>
      <c r="M288" s="577"/>
      <c r="N288" s="577"/>
      <c r="O288" s="577"/>
      <c r="P288" s="577"/>
      <c r="Q288" s="577"/>
      <c r="R288" s="577"/>
      <c r="S288" s="577"/>
      <c r="T288" s="577"/>
      <c r="U288" s="577"/>
      <c r="V288" s="577"/>
      <c r="W288" s="577"/>
      <c r="X288" s="577"/>
      <c r="Y288" s="577"/>
      <c r="Z288" s="577"/>
      <c r="AA288" s="577"/>
      <c r="AB288" s="577"/>
      <c r="AC288" s="583"/>
      <c r="AD288" s="355"/>
      <c r="AE288" s="358"/>
      <c r="AF288" s="355"/>
      <c r="AH288" s="367"/>
    </row>
    <row r="289" spans="1:34" s="339" customFormat="1" x14ac:dyDescent="0.2">
      <c r="A289" s="355"/>
      <c r="B289" s="355"/>
      <c r="C289" s="355"/>
      <c r="D289" s="355"/>
      <c r="E289" s="355"/>
      <c r="F289" s="577"/>
      <c r="G289" s="355"/>
      <c r="H289" s="399"/>
      <c r="I289" s="355"/>
      <c r="J289" s="355"/>
      <c r="K289" s="355"/>
      <c r="L289" s="355"/>
      <c r="M289" s="577"/>
      <c r="N289" s="577"/>
      <c r="O289" s="577"/>
      <c r="P289" s="577"/>
      <c r="Q289" s="577"/>
      <c r="R289" s="577"/>
      <c r="S289" s="577"/>
      <c r="T289" s="577"/>
      <c r="U289" s="577"/>
      <c r="V289" s="577"/>
      <c r="W289" s="577"/>
      <c r="X289" s="577"/>
      <c r="Y289" s="577"/>
      <c r="Z289" s="577"/>
      <c r="AA289" s="577"/>
      <c r="AB289" s="577"/>
      <c r="AC289" s="583"/>
      <c r="AD289" s="355"/>
      <c r="AE289" s="358"/>
      <c r="AF289" s="355"/>
      <c r="AG289" s="377"/>
      <c r="AH289" s="352"/>
    </row>
    <row r="290" spans="1:34" s="339" customFormat="1" x14ac:dyDescent="0.2">
      <c r="A290" s="355"/>
      <c r="B290" s="355"/>
      <c r="C290" s="355"/>
      <c r="D290" s="355"/>
      <c r="E290" s="355"/>
      <c r="F290" s="577"/>
      <c r="G290" s="355"/>
      <c r="H290" s="399"/>
      <c r="I290" s="355"/>
      <c r="J290" s="355"/>
      <c r="K290" s="355"/>
      <c r="L290" s="355"/>
      <c r="M290" s="577"/>
      <c r="N290" s="577"/>
      <c r="O290" s="577"/>
      <c r="P290" s="577"/>
      <c r="Q290" s="577"/>
      <c r="R290" s="577"/>
      <c r="S290" s="577"/>
      <c r="T290" s="577"/>
      <c r="U290" s="577"/>
      <c r="V290" s="577"/>
      <c r="W290" s="577"/>
      <c r="X290" s="577"/>
      <c r="Y290" s="577"/>
      <c r="Z290" s="577"/>
      <c r="AA290" s="577"/>
      <c r="AB290" s="577"/>
      <c r="AC290" s="583"/>
      <c r="AD290" s="355"/>
      <c r="AE290" s="358"/>
      <c r="AF290" s="355"/>
      <c r="AG290" s="377"/>
      <c r="AH290" s="352"/>
    </row>
    <row r="291" spans="1:34" s="339" customFormat="1" ht="13.5" customHeight="1" x14ac:dyDescent="0.2">
      <c r="A291" s="355"/>
      <c r="B291" s="355"/>
      <c r="C291" s="355"/>
      <c r="D291" s="355"/>
      <c r="E291" s="355"/>
      <c r="F291" s="577"/>
      <c r="G291" s="355"/>
      <c r="H291" s="399"/>
      <c r="I291" s="355"/>
      <c r="J291" s="355"/>
      <c r="K291" s="355"/>
      <c r="L291" s="355"/>
      <c r="M291" s="577"/>
      <c r="N291" s="577"/>
      <c r="O291" s="577"/>
      <c r="P291" s="577"/>
      <c r="Q291" s="577"/>
      <c r="R291" s="577"/>
      <c r="S291" s="577"/>
      <c r="T291" s="577"/>
      <c r="U291" s="577"/>
      <c r="V291" s="577"/>
      <c r="W291" s="577"/>
      <c r="X291" s="577"/>
      <c r="Y291" s="577"/>
      <c r="Z291" s="577"/>
      <c r="AA291" s="577"/>
      <c r="AB291" s="577"/>
      <c r="AC291" s="583"/>
      <c r="AD291" s="355"/>
      <c r="AE291" s="358"/>
      <c r="AF291" s="355"/>
      <c r="AG291" s="375"/>
      <c r="AH291" s="355"/>
    </row>
    <row r="292" spans="1:34" s="339" customFormat="1" x14ac:dyDescent="0.2">
      <c r="A292" s="355"/>
      <c r="B292" s="355"/>
      <c r="C292" s="355"/>
      <c r="D292" s="355"/>
      <c r="E292" s="355"/>
      <c r="F292" s="577"/>
      <c r="G292" s="355"/>
      <c r="H292" s="399"/>
      <c r="I292" s="355"/>
      <c r="J292" s="355"/>
      <c r="K292" s="355"/>
      <c r="L292" s="355"/>
      <c r="M292" s="577"/>
      <c r="N292" s="577"/>
      <c r="O292" s="577"/>
      <c r="P292" s="577"/>
      <c r="Q292" s="577"/>
      <c r="R292" s="577"/>
      <c r="S292" s="577"/>
      <c r="T292" s="577"/>
      <c r="U292" s="577"/>
      <c r="V292" s="577"/>
      <c r="W292" s="577"/>
      <c r="X292" s="577"/>
      <c r="Y292" s="577"/>
      <c r="Z292" s="577"/>
      <c r="AA292" s="577"/>
      <c r="AB292" s="577"/>
      <c r="AC292" s="583"/>
      <c r="AD292" s="355"/>
      <c r="AE292" s="358"/>
      <c r="AF292" s="355"/>
      <c r="AG292" s="354"/>
      <c r="AH292" s="355"/>
    </row>
    <row r="293" spans="1:34" s="339" customFormat="1" x14ac:dyDescent="0.2">
      <c r="A293" s="355"/>
      <c r="B293" s="355"/>
      <c r="C293" s="355"/>
      <c r="D293" s="355"/>
      <c r="E293" s="355"/>
      <c r="F293" s="577"/>
      <c r="G293" s="355"/>
      <c r="H293" s="399"/>
      <c r="I293" s="355"/>
      <c r="J293" s="355"/>
      <c r="K293" s="355"/>
      <c r="L293" s="355"/>
      <c r="M293" s="577"/>
      <c r="N293" s="577"/>
      <c r="O293" s="577"/>
      <c r="P293" s="577"/>
      <c r="Q293" s="577"/>
      <c r="R293" s="577"/>
      <c r="S293" s="577"/>
      <c r="T293" s="577"/>
      <c r="U293" s="577"/>
      <c r="V293" s="577"/>
      <c r="W293" s="577"/>
      <c r="X293" s="577"/>
      <c r="Y293" s="577"/>
      <c r="Z293" s="577"/>
      <c r="AA293" s="577"/>
      <c r="AB293" s="577"/>
      <c r="AC293" s="583"/>
      <c r="AD293" s="355"/>
      <c r="AE293" s="358"/>
      <c r="AF293" s="355"/>
      <c r="AG293" s="354"/>
      <c r="AH293" s="355"/>
    </row>
    <row r="294" spans="1:34" s="339" customFormat="1" x14ac:dyDescent="0.2">
      <c r="A294" s="355"/>
      <c r="B294" s="355"/>
      <c r="C294" s="355"/>
      <c r="D294" s="355"/>
      <c r="E294" s="355"/>
      <c r="F294" s="577"/>
      <c r="G294" s="355"/>
      <c r="H294" s="399"/>
      <c r="I294" s="355"/>
      <c r="J294" s="355"/>
      <c r="K294" s="355"/>
      <c r="L294" s="355"/>
      <c r="M294" s="577"/>
      <c r="N294" s="577"/>
      <c r="O294" s="577"/>
      <c r="P294" s="577"/>
      <c r="Q294" s="577"/>
      <c r="R294" s="577"/>
      <c r="S294" s="577"/>
      <c r="T294" s="577"/>
      <c r="U294" s="577"/>
      <c r="V294" s="577"/>
      <c r="W294" s="577"/>
      <c r="X294" s="577"/>
      <c r="Y294" s="577"/>
      <c r="Z294" s="577"/>
      <c r="AA294" s="577"/>
      <c r="AB294" s="577"/>
      <c r="AC294" s="583"/>
      <c r="AD294" s="355"/>
      <c r="AE294" s="358"/>
      <c r="AF294" s="355"/>
      <c r="AG294" s="354"/>
      <c r="AH294" s="355"/>
    </row>
    <row r="295" spans="1:34" s="339" customFormat="1" x14ac:dyDescent="0.2">
      <c r="A295" s="355"/>
      <c r="B295" s="355"/>
      <c r="C295" s="355"/>
      <c r="D295" s="355"/>
      <c r="E295" s="355"/>
      <c r="F295" s="577"/>
      <c r="G295" s="355"/>
      <c r="H295" s="399"/>
      <c r="I295" s="355"/>
      <c r="J295" s="355"/>
      <c r="K295" s="355"/>
      <c r="L295" s="355"/>
      <c r="M295" s="577"/>
      <c r="N295" s="577"/>
      <c r="O295" s="577"/>
      <c r="P295" s="577"/>
      <c r="Q295" s="577"/>
      <c r="R295" s="577"/>
      <c r="S295" s="577"/>
      <c r="T295" s="577"/>
      <c r="U295" s="577"/>
      <c r="V295" s="577"/>
      <c r="W295" s="577"/>
      <c r="X295" s="577"/>
      <c r="Y295" s="577"/>
      <c r="Z295" s="577"/>
      <c r="AA295" s="577"/>
      <c r="AB295" s="577"/>
      <c r="AC295" s="583"/>
      <c r="AD295" s="355"/>
      <c r="AE295" s="358"/>
      <c r="AF295" s="355"/>
      <c r="AG295" s="359"/>
      <c r="AH295" s="361"/>
    </row>
    <row r="296" spans="1:34" s="339" customFormat="1" ht="15.75" customHeight="1" x14ac:dyDescent="0.2">
      <c r="A296" s="355"/>
      <c r="B296" s="355"/>
      <c r="C296" s="355"/>
      <c r="D296" s="355"/>
      <c r="E296" s="355"/>
      <c r="F296" s="577"/>
      <c r="G296" s="355"/>
      <c r="H296" s="399"/>
      <c r="I296" s="355"/>
      <c r="J296" s="355"/>
      <c r="K296" s="355"/>
      <c r="L296" s="355"/>
      <c r="M296" s="577"/>
      <c r="N296" s="577"/>
      <c r="O296" s="577"/>
      <c r="P296" s="577"/>
      <c r="Q296" s="577"/>
      <c r="R296" s="577"/>
      <c r="S296" s="577"/>
      <c r="T296" s="577"/>
      <c r="U296" s="577"/>
      <c r="V296" s="577"/>
      <c r="W296" s="577"/>
      <c r="X296" s="577"/>
      <c r="Y296" s="577"/>
      <c r="Z296" s="577"/>
      <c r="AA296" s="577"/>
      <c r="AB296" s="577"/>
      <c r="AC296" s="583"/>
      <c r="AD296" s="355"/>
      <c r="AE296" s="358"/>
      <c r="AF296" s="355"/>
      <c r="AG296" s="359"/>
      <c r="AH296" s="365"/>
    </row>
    <row r="297" spans="1:34" s="339" customFormat="1" ht="15.75" customHeight="1" x14ac:dyDescent="0.2">
      <c r="A297" s="355"/>
      <c r="B297" s="355"/>
      <c r="C297" s="355"/>
      <c r="D297" s="355"/>
      <c r="E297" s="355"/>
      <c r="F297" s="577"/>
      <c r="G297" s="355"/>
      <c r="H297" s="399"/>
      <c r="I297" s="355"/>
      <c r="J297" s="355"/>
      <c r="K297" s="355"/>
      <c r="L297" s="355"/>
      <c r="M297" s="577"/>
      <c r="N297" s="577"/>
      <c r="O297" s="577"/>
      <c r="P297" s="577"/>
      <c r="Q297" s="577"/>
      <c r="R297" s="577"/>
      <c r="S297" s="577"/>
      <c r="T297" s="577"/>
      <c r="U297" s="577"/>
      <c r="V297" s="577"/>
      <c r="W297" s="577"/>
      <c r="X297" s="577"/>
      <c r="Y297" s="577"/>
      <c r="Z297" s="577"/>
      <c r="AA297" s="577"/>
      <c r="AB297" s="577"/>
      <c r="AC297" s="583"/>
      <c r="AD297" s="355"/>
      <c r="AE297" s="358"/>
      <c r="AF297" s="355"/>
      <c r="AG297" s="359"/>
      <c r="AH297" s="355"/>
    </row>
    <row r="298" spans="1:34" s="339" customFormat="1" ht="12.75" customHeight="1" x14ac:dyDescent="0.2">
      <c r="A298" s="355"/>
      <c r="B298" s="355"/>
      <c r="C298" s="355"/>
      <c r="D298" s="355"/>
      <c r="E298" s="355"/>
      <c r="F298" s="577"/>
      <c r="G298" s="355"/>
      <c r="H298" s="399"/>
      <c r="I298" s="355"/>
      <c r="J298" s="355"/>
      <c r="K298" s="355"/>
      <c r="L298" s="355"/>
      <c r="M298" s="577"/>
      <c r="N298" s="577"/>
      <c r="O298" s="577"/>
      <c r="P298" s="577"/>
      <c r="Q298" s="577"/>
      <c r="R298" s="577"/>
      <c r="S298" s="577"/>
      <c r="T298" s="577"/>
      <c r="U298" s="577"/>
      <c r="V298" s="577"/>
      <c r="W298" s="577"/>
      <c r="X298" s="577"/>
      <c r="Y298" s="577"/>
      <c r="Z298" s="577"/>
      <c r="AA298" s="577"/>
      <c r="AB298" s="577"/>
      <c r="AC298" s="583"/>
      <c r="AD298" s="355"/>
      <c r="AE298" s="358"/>
      <c r="AF298" s="355"/>
      <c r="AG298" s="364"/>
      <c r="AH298" s="366"/>
    </row>
    <row r="299" spans="1:34" s="339" customFormat="1" x14ac:dyDescent="0.2">
      <c r="A299" s="355"/>
      <c r="B299" s="355"/>
      <c r="C299" s="355"/>
      <c r="D299" s="355"/>
      <c r="E299" s="355"/>
      <c r="F299" s="577"/>
      <c r="G299" s="355"/>
      <c r="H299" s="399"/>
      <c r="I299" s="355"/>
      <c r="J299" s="355"/>
      <c r="K299" s="355"/>
      <c r="L299" s="355"/>
      <c r="M299" s="577"/>
      <c r="N299" s="577"/>
      <c r="O299" s="577"/>
      <c r="P299" s="577"/>
      <c r="Q299" s="577"/>
      <c r="R299" s="577"/>
      <c r="S299" s="577"/>
      <c r="T299" s="577"/>
      <c r="U299" s="577"/>
      <c r="V299" s="577"/>
      <c r="W299" s="577"/>
      <c r="X299" s="577"/>
      <c r="Y299" s="577"/>
      <c r="Z299" s="577"/>
      <c r="AA299" s="577"/>
      <c r="AB299" s="577"/>
      <c r="AC299" s="583"/>
      <c r="AD299" s="355"/>
      <c r="AE299" s="358"/>
      <c r="AF299" s="355"/>
      <c r="AG299" s="365"/>
      <c r="AH299" s="366"/>
    </row>
    <row r="300" spans="1:34" s="339" customFormat="1" x14ac:dyDescent="0.2">
      <c r="A300" s="355"/>
      <c r="B300" s="355"/>
      <c r="C300" s="355"/>
      <c r="D300" s="355"/>
      <c r="E300" s="355"/>
      <c r="F300" s="577"/>
      <c r="G300" s="355"/>
      <c r="H300" s="399"/>
      <c r="I300" s="355"/>
      <c r="J300" s="355"/>
      <c r="K300" s="355"/>
      <c r="L300" s="355"/>
      <c r="M300" s="577"/>
      <c r="N300" s="577"/>
      <c r="O300" s="577"/>
      <c r="P300" s="577"/>
      <c r="Q300" s="577"/>
      <c r="R300" s="577"/>
      <c r="S300" s="577"/>
      <c r="T300" s="577"/>
      <c r="U300" s="577"/>
      <c r="V300" s="577"/>
      <c r="W300" s="577"/>
      <c r="X300" s="577"/>
      <c r="Y300" s="577"/>
      <c r="Z300" s="577"/>
      <c r="AA300" s="577"/>
      <c r="AB300" s="577"/>
      <c r="AC300" s="583"/>
      <c r="AD300" s="355"/>
      <c r="AE300" s="358"/>
      <c r="AF300" s="355"/>
      <c r="AG300" s="355"/>
      <c r="AH300" s="355"/>
    </row>
    <row r="301" spans="1:34" s="339" customFormat="1" x14ac:dyDescent="0.2">
      <c r="A301" s="355"/>
      <c r="B301" s="355"/>
      <c r="C301" s="355"/>
      <c r="D301" s="355"/>
      <c r="E301" s="355"/>
      <c r="F301" s="577"/>
      <c r="G301" s="355"/>
      <c r="H301" s="399"/>
      <c r="I301" s="355"/>
      <c r="J301" s="355"/>
      <c r="K301" s="355"/>
      <c r="L301" s="355"/>
      <c r="M301" s="577"/>
      <c r="N301" s="577"/>
      <c r="O301" s="577"/>
      <c r="P301" s="577"/>
      <c r="Q301" s="577"/>
      <c r="R301" s="577"/>
      <c r="S301" s="577"/>
      <c r="T301" s="577"/>
      <c r="U301" s="577"/>
      <c r="V301" s="577"/>
      <c r="W301" s="577"/>
      <c r="X301" s="577"/>
      <c r="Y301" s="577"/>
      <c r="Z301" s="577"/>
      <c r="AA301" s="577"/>
      <c r="AB301" s="577"/>
      <c r="AC301" s="583"/>
      <c r="AD301" s="355"/>
      <c r="AE301" s="358"/>
      <c r="AF301" s="355"/>
      <c r="AG301" s="366"/>
      <c r="AH301" s="367"/>
    </row>
    <row r="302" spans="1:34" s="339" customFormat="1" x14ac:dyDescent="0.2">
      <c r="A302" s="355"/>
      <c r="B302" s="355"/>
      <c r="C302" s="355"/>
      <c r="D302" s="355"/>
      <c r="E302" s="355"/>
      <c r="F302" s="577"/>
      <c r="G302" s="355"/>
      <c r="H302" s="399"/>
      <c r="I302" s="355"/>
      <c r="J302" s="355"/>
      <c r="K302" s="355"/>
      <c r="L302" s="355"/>
      <c r="M302" s="577"/>
      <c r="N302" s="577"/>
      <c r="O302" s="577"/>
      <c r="P302" s="577"/>
      <c r="Q302" s="577"/>
      <c r="R302" s="577"/>
      <c r="S302" s="577"/>
      <c r="T302" s="577"/>
      <c r="U302" s="577"/>
      <c r="V302" s="577"/>
      <c r="W302" s="577"/>
      <c r="X302" s="577"/>
      <c r="Y302" s="577"/>
      <c r="Z302" s="577"/>
      <c r="AA302" s="577"/>
      <c r="AB302" s="577"/>
      <c r="AC302" s="583"/>
      <c r="AD302" s="355"/>
      <c r="AE302" s="358"/>
      <c r="AF302" s="355"/>
      <c r="AG302" s="366"/>
      <c r="AH302" s="368"/>
    </row>
    <row r="303" spans="1:34" s="339" customFormat="1" x14ac:dyDescent="0.2">
      <c r="A303" s="355"/>
      <c r="B303" s="355"/>
      <c r="C303" s="355"/>
      <c r="D303" s="355"/>
      <c r="E303" s="355"/>
      <c r="F303" s="577"/>
      <c r="G303" s="355"/>
      <c r="H303" s="399"/>
      <c r="I303" s="355"/>
      <c r="J303" s="355"/>
      <c r="K303" s="355"/>
      <c r="L303" s="355"/>
      <c r="M303" s="577"/>
      <c r="N303" s="577"/>
      <c r="O303" s="577"/>
      <c r="P303" s="577"/>
      <c r="Q303" s="577"/>
      <c r="R303" s="577"/>
      <c r="S303" s="577"/>
      <c r="T303" s="577"/>
      <c r="U303" s="577"/>
      <c r="V303" s="577"/>
      <c r="W303" s="577"/>
      <c r="X303" s="577"/>
      <c r="Y303" s="577"/>
      <c r="Z303" s="577"/>
      <c r="AA303" s="577"/>
      <c r="AB303" s="577"/>
      <c r="AC303" s="583"/>
      <c r="AD303" s="355"/>
      <c r="AE303" s="358"/>
      <c r="AF303" s="355"/>
      <c r="AG303" s="355"/>
      <c r="AH303" s="368"/>
    </row>
    <row r="304" spans="1:34" s="339" customFormat="1" ht="14.25" customHeight="1" x14ac:dyDescent="0.2">
      <c r="A304" s="355"/>
      <c r="B304" s="355"/>
      <c r="C304" s="355"/>
      <c r="D304" s="355"/>
      <c r="E304" s="355"/>
      <c r="F304" s="577"/>
      <c r="G304" s="355"/>
      <c r="H304" s="399"/>
      <c r="I304" s="355"/>
      <c r="J304" s="355"/>
      <c r="K304" s="355"/>
      <c r="L304" s="355"/>
      <c r="M304" s="577"/>
      <c r="N304" s="577"/>
      <c r="O304" s="577"/>
      <c r="P304" s="577"/>
      <c r="Q304" s="577"/>
      <c r="R304" s="577"/>
      <c r="S304" s="577"/>
      <c r="T304" s="577"/>
      <c r="U304" s="577"/>
      <c r="V304" s="577"/>
      <c r="W304" s="577"/>
      <c r="X304" s="577"/>
      <c r="Y304" s="577"/>
      <c r="Z304" s="577"/>
      <c r="AA304" s="577"/>
      <c r="AB304" s="577"/>
      <c r="AC304" s="583"/>
      <c r="AD304" s="355"/>
      <c r="AE304" s="358"/>
      <c r="AF304" s="355"/>
      <c r="AG304" s="367"/>
      <c r="AH304" s="368"/>
    </row>
    <row r="305" spans="1:34" s="339" customFormat="1" x14ac:dyDescent="0.2">
      <c r="A305" s="355"/>
      <c r="B305" s="355"/>
      <c r="C305" s="355"/>
      <c r="D305" s="355"/>
      <c r="E305" s="355"/>
      <c r="F305" s="577"/>
      <c r="G305" s="355"/>
      <c r="H305" s="399"/>
      <c r="I305" s="355"/>
      <c r="J305" s="355"/>
      <c r="K305" s="355"/>
      <c r="L305" s="355"/>
      <c r="M305" s="577"/>
      <c r="N305" s="577"/>
      <c r="O305" s="577"/>
      <c r="P305" s="577"/>
      <c r="Q305" s="577"/>
      <c r="R305" s="577"/>
      <c r="S305" s="577"/>
      <c r="T305" s="577"/>
      <c r="U305" s="577"/>
      <c r="V305" s="577"/>
      <c r="W305" s="577"/>
      <c r="X305" s="577"/>
      <c r="Y305" s="577"/>
      <c r="Z305" s="577"/>
      <c r="AA305" s="577"/>
      <c r="AB305" s="577"/>
      <c r="AC305" s="583"/>
      <c r="AD305" s="355"/>
      <c r="AE305" s="358"/>
      <c r="AF305" s="355"/>
      <c r="AG305" s="368"/>
      <c r="AH305" s="368"/>
    </row>
    <row r="306" spans="1:34" s="339" customFormat="1" x14ac:dyDescent="0.2">
      <c r="A306" s="355"/>
      <c r="B306" s="355"/>
      <c r="C306" s="355"/>
      <c r="D306" s="355"/>
      <c r="E306" s="355"/>
      <c r="F306" s="577"/>
      <c r="G306" s="355"/>
      <c r="H306" s="399"/>
      <c r="I306" s="355"/>
      <c r="J306" s="355"/>
      <c r="K306" s="355"/>
      <c r="L306" s="355"/>
      <c r="M306" s="577"/>
      <c r="N306" s="577"/>
      <c r="O306" s="577"/>
      <c r="P306" s="577"/>
      <c r="Q306" s="577"/>
      <c r="R306" s="577"/>
      <c r="S306" s="577"/>
      <c r="T306" s="577"/>
      <c r="U306" s="577"/>
      <c r="V306" s="577"/>
      <c r="W306" s="577"/>
      <c r="X306" s="577"/>
      <c r="Y306" s="577"/>
      <c r="Z306" s="577"/>
      <c r="AA306" s="577"/>
      <c r="AB306" s="577"/>
      <c r="AC306" s="583"/>
      <c r="AD306" s="355"/>
      <c r="AE306" s="358"/>
      <c r="AF306" s="355"/>
      <c r="AG306" s="368"/>
      <c r="AH306" s="368"/>
    </row>
    <row r="307" spans="1:34" s="360" customFormat="1" x14ac:dyDescent="0.2">
      <c r="A307" s="355"/>
      <c r="B307" s="355"/>
      <c r="C307" s="355"/>
      <c r="D307" s="355"/>
      <c r="E307" s="355"/>
      <c r="F307" s="577"/>
      <c r="G307" s="355"/>
      <c r="H307" s="399"/>
      <c r="I307" s="355"/>
      <c r="J307" s="355"/>
      <c r="K307" s="355"/>
      <c r="L307" s="355"/>
      <c r="M307" s="577"/>
      <c r="N307" s="577"/>
      <c r="O307" s="577"/>
      <c r="P307" s="577"/>
      <c r="Q307" s="577"/>
      <c r="R307" s="577"/>
      <c r="S307" s="577"/>
      <c r="T307" s="577"/>
      <c r="U307" s="577"/>
      <c r="V307" s="577"/>
      <c r="W307" s="577"/>
      <c r="X307" s="577"/>
      <c r="Y307" s="577"/>
      <c r="Z307" s="577"/>
      <c r="AA307" s="577"/>
      <c r="AB307" s="577"/>
      <c r="AC307" s="583"/>
      <c r="AD307" s="355"/>
      <c r="AE307" s="358"/>
      <c r="AF307" s="355"/>
      <c r="AG307" s="368"/>
      <c r="AH307" s="368"/>
    </row>
    <row r="308" spans="1:34" s="360" customFormat="1" ht="12" customHeight="1" x14ac:dyDescent="0.2">
      <c r="A308" s="355"/>
      <c r="B308" s="355"/>
      <c r="C308" s="355"/>
      <c r="D308" s="355"/>
      <c r="E308" s="355"/>
      <c r="F308" s="577"/>
      <c r="G308" s="355"/>
      <c r="H308" s="399"/>
      <c r="I308" s="355"/>
      <c r="J308" s="355"/>
      <c r="K308" s="355"/>
      <c r="L308" s="355"/>
      <c r="M308" s="577"/>
      <c r="N308" s="577"/>
      <c r="O308" s="577"/>
      <c r="P308" s="577"/>
      <c r="Q308" s="577"/>
      <c r="R308" s="577"/>
      <c r="S308" s="577"/>
      <c r="T308" s="577"/>
      <c r="U308" s="577"/>
      <c r="V308" s="577"/>
      <c r="W308" s="577"/>
      <c r="X308" s="577"/>
      <c r="Y308" s="577"/>
      <c r="Z308" s="577"/>
      <c r="AA308" s="577"/>
      <c r="AB308" s="577"/>
      <c r="AC308" s="583"/>
      <c r="AD308" s="355"/>
      <c r="AE308" s="358"/>
      <c r="AF308" s="355"/>
      <c r="AG308" s="368"/>
    </row>
    <row r="309" spans="1:34" s="360" customFormat="1" x14ac:dyDescent="0.2">
      <c r="A309" s="355"/>
      <c r="B309" s="355"/>
      <c r="C309" s="355"/>
      <c r="D309" s="355"/>
      <c r="E309" s="355"/>
      <c r="F309" s="577"/>
      <c r="G309" s="355"/>
      <c r="H309" s="399"/>
      <c r="I309" s="355"/>
      <c r="J309" s="355"/>
      <c r="K309" s="355"/>
      <c r="L309" s="355"/>
      <c r="M309" s="577"/>
      <c r="N309" s="577"/>
      <c r="O309" s="577"/>
      <c r="P309" s="577"/>
      <c r="Q309" s="577"/>
      <c r="R309" s="577"/>
      <c r="S309" s="577"/>
      <c r="T309" s="577"/>
      <c r="U309" s="577"/>
      <c r="V309" s="577"/>
      <c r="W309" s="577"/>
      <c r="X309" s="577"/>
      <c r="Y309" s="577"/>
      <c r="Z309" s="577"/>
      <c r="AA309" s="577"/>
      <c r="AB309" s="577"/>
      <c r="AC309" s="583"/>
      <c r="AD309" s="355"/>
      <c r="AE309" s="358"/>
      <c r="AF309" s="355"/>
      <c r="AG309" s="368"/>
    </row>
    <row r="310" spans="1:34" s="361" customFormat="1" ht="11.25" customHeight="1" x14ac:dyDescent="0.2">
      <c r="A310" s="355"/>
      <c r="B310" s="355"/>
      <c r="C310" s="355"/>
      <c r="D310" s="355"/>
      <c r="E310" s="355"/>
      <c r="F310" s="577"/>
      <c r="G310" s="355"/>
      <c r="H310" s="399"/>
      <c r="I310" s="355"/>
      <c r="J310" s="355"/>
      <c r="K310" s="355"/>
      <c r="L310" s="355"/>
      <c r="M310" s="577"/>
      <c r="N310" s="577"/>
      <c r="O310" s="577"/>
      <c r="P310" s="577"/>
      <c r="Q310" s="577"/>
      <c r="R310" s="577"/>
      <c r="S310" s="577"/>
      <c r="T310" s="577"/>
      <c r="U310" s="577"/>
      <c r="V310" s="577"/>
      <c r="W310" s="577"/>
      <c r="X310" s="577"/>
      <c r="Y310" s="577"/>
      <c r="Z310" s="577"/>
      <c r="AA310" s="577"/>
      <c r="AB310" s="577"/>
      <c r="AC310" s="583"/>
      <c r="AD310" s="355"/>
      <c r="AE310" s="358"/>
      <c r="AF310" s="355"/>
      <c r="AG310" s="368"/>
    </row>
    <row r="311" spans="1:34" s="365" customFormat="1" x14ac:dyDescent="0.2">
      <c r="A311" s="355"/>
      <c r="B311" s="355"/>
      <c r="C311" s="355"/>
      <c r="D311" s="355"/>
      <c r="E311" s="355"/>
      <c r="F311" s="577"/>
      <c r="G311" s="355"/>
      <c r="H311" s="399"/>
      <c r="I311" s="355"/>
      <c r="J311" s="355"/>
      <c r="K311" s="355"/>
      <c r="L311" s="355"/>
      <c r="M311" s="577"/>
      <c r="N311" s="577"/>
      <c r="O311" s="577"/>
      <c r="P311" s="577"/>
      <c r="Q311" s="577"/>
      <c r="R311" s="577"/>
      <c r="S311" s="577"/>
      <c r="T311" s="577"/>
      <c r="U311" s="577"/>
      <c r="V311" s="577"/>
      <c r="W311" s="577"/>
      <c r="X311" s="577"/>
      <c r="Y311" s="577"/>
      <c r="Z311" s="577"/>
      <c r="AA311" s="577"/>
      <c r="AB311" s="577"/>
      <c r="AC311" s="583"/>
      <c r="AD311" s="355"/>
      <c r="AE311" s="358"/>
      <c r="AF311" s="355"/>
      <c r="AG311" s="368"/>
    </row>
    <row r="312" spans="1:34" x14ac:dyDescent="0.2">
      <c r="AG312" s="370"/>
    </row>
    <row r="313" spans="1:34" s="366" customFormat="1" x14ac:dyDescent="0.2">
      <c r="A313" s="355"/>
      <c r="B313" s="355"/>
      <c r="C313" s="355"/>
      <c r="D313" s="355"/>
      <c r="E313" s="355"/>
      <c r="F313" s="577"/>
      <c r="G313" s="355"/>
      <c r="H313" s="399"/>
      <c r="I313" s="355"/>
      <c r="J313" s="355"/>
      <c r="K313" s="355"/>
      <c r="L313" s="355"/>
      <c r="M313" s="577"/>
      <c r="N313" s="577"/>
      <c r="O313" s="577"/>
      <c r="P313" s="577"/>
      <c r="Q313" s="577"/>
      <c r="R313" s="577"/>
      <c r="S313" s="577"/>
      <c r="T313" s="577"/>
      <c r="U313" s="577"/>
      <c r="V313" s="577"/>
      <c r="W313" s="577"/>
      <c r="X313" s="577"/>
      <c r="Y313" s="577"/>
      <c r="Z313" s="577"/>
      <c r="AA313" s="577"/>
      <c r="AB313" s="577"/>
      <c r="AC313" s="583"/>
      <c r="AD313" s="355"/>
      <c r="AE313" s="358"/>
      <c r="AF313" s="355"/>
      <c r="AG313" s="367"/>
    </row>
    <row r="314" spans="1:34" s="366" customFormat="1" x14ac:dyDescent="0.2">
      <c r="A314" s="355"/>
      <c r="B314" s="355"/>
      <c r="C314" s="355"/>
      <c r="D314" s="355"/>
      <c r="E314" s="355"/>
      <c r="F314" s="577"/>
      <c r="G314" s="355"/>
      <c r="H314" s="399"/>
      <c r="I314" s="355"/>
      <c r="J314" s="355"/>
      <c r="K314" s="355"/>
      <c r="L314" s="355"/>
      <c r="M314" s="577"/>
      <c r="N314" s="577"/>
      <c r="O314" s="577"/>
      <c r="P314" s="577"/>
      <c r="Q314" s="577"/>
      <c r="R314" s="577"/>
      <c r="S314" s="577"/>
      <c r="T314" s="577"/>
      <c r="U314" s="577"/>
      <c r="V314" s="577"/>
      <c r="W314" s="577"/>
      <c r="X314" s="577"/>
      <c r="Y314" s="577"/>
      <c r="Z314" s="577"/>
      <c r="AA314" s="577"/>
      <c r="AB314" s="577"/>
      <c r="AC314" s="583"/>
      <c r="AD314" s="355"/>
      <c r="AE314" s="358"/>
      <c r="AF314" s="355"/>
      <c r="AG314" s="367"/>
    </row>
    <row r="315" spans="1:34" x14ac:dyDescent="0.2">
      <c r="AG315" s="367"/>
    </row>
    <row r="316" spans="1:34" x14ac:dyDescent="0.2">
      <c r="AG316" s="367"/>
    </row>
    <row r="317" spans="1:34" s="369" customFormat="1" x14ac:dyDescent="0.2">
      <c r="A317" s="355"/>
      <c r="B317" s="355"/>
      <c r="C317" s="355"/>
      <c r="D317" s="355"/>
      <c r="E317" s="355"/>
      <c r="F317" s="577"/>
      <c r="G317" s="355"/>
      <c r="H317" s="399"/>
      <c r="I317" s="355"/>
      <c r="J317" s="355"/>
      <c r="K317" s="355"/>
      <c r="L317" s="355"/>
      <c r="M317" s="577"/>
      <c r="N317" s="577"/>
      <c r="O317" s="577"/>
      <c r="P317" s="577"/>
      <c r="Q317" s="577"/>
      <c r="R317" s="577"/>
      <c r="S317" s="577"/>
      <c r="T317" s="577"/>
      <c r="U317" s="577"/>
      <c r="V317" s="577"/>
      <c r="W317" s="577"/>
      <c r="X317" s="577"/>
      <c r="Y317" s="577"/>
      <c r="Z317" s="577"/>
      <c r="AA317" s="577"/>
      <c r="AB317" s="577"/>
      <c r="AC317" s="583"/>
      <c r="AD317" s="355"/>
      <c r="AE317" s="358"/>
      <c r="AF317" s="355"/>
      <c r="AG317" s="372"/>
    </row>
    <row r="318" spans="1:34" s="369" customFormat="1" x14ac:dyDescent="0.2">
      <c r="A318" s="355"/>
      <c r="B318" s="355"/>
      <c r="C318" s="355"/>
      <c r="D318" s="355"/>
      <c r="E318" s="355"/>
      <c r="F318" s="577"/>
      <c r="G318" s="355"/>
      <c r="H318" s="399"/>
      <c r="I318" s="355"/>
      <c r="J318" s="355"/>
      <c r="K318" s="355"/>
      <c r="L318" s="355"/>
      <c r="M318" s="577"/>
      <c r="N318" s="577"/>
      <c r="O318" s="577"/>
      <c r="P318" s="577"/>
      <c r="Q318" s="577"/>
      <c r="R318" s="577"/>
      <c r="S318" s="577"/>
      <c r="T318" s="577"/>
      <c r="U318" s="577"/>
      <c r="V318" s="577"/>
      <c r="W318" s="577"/>
      <c r="X318" s="577"/>
      <c r="Y318" s="577"/>
      <c r="Z318" s="577"/>
      <c r="AA318" s="577"/>
      <c r="AB318" s="577"/>
      <c r="AC318" s="583"/>
      <c r="AD318" s="355"/>
      <c r="AE318" s="358"/>
      <c r="AF318" s="355"/>
      <c r="AG318" s="360"/>
    </row>
    <row r="319" spans="1:34" s="369" customFormat="1" x14ac:dyDescent="0.2">
      <c r="A319" s="355"/>
      <c r="B319" s="355"/>
      <c r="C319" s="355"/>
      <c r="D319" s="355"/>
      <c r="E319" s="355"/>
      <c r="F319" s="577"/>
      <c r="G319" s="355"/>
      <c r="H319" s="399"/>
      <c r="I319" s="355"/>
      <c r="J319" s="355"/>
      <c r="K319" s="355"/>
      <c r="L319" s="355"/>
      <c r="M319" s="577"/>
      <c r="N319" s="577"/>
      <c r="O319" s="577"/>
      <c r="P319" s="577"/>
      <c r="Q319" s="577"/>
      <c r="R319" s="577"/>
      <c r="S319" s="577"/>
      <c r="T319" s="577"/>
      <c r="U319" s="577"/>
      <c r="V319" s="577"/>
      <c r="W319" s="577"/>
      <c r="X319" s="577"/>
      <c r="Y319" s="577"/>
      <c r="Z319" s="577"/>
      <c r="AA319" s="577"/>
      <c r="AB319" s="577"/>
      <c r="AC319" s="583"/>
      <c r="AD319" s="355"/>
      <c r="AE319" s="358"/>
      <c r="AF319" s="355"/>
      <c r="AG319" s="360"/>
    </row>
    <row r="320" spans="1:34" s="369" customFormat="1" x14ac:dyDescent="0.2">
      <c r="A320" s="355"/>
      <c r="B320" s="355"/>
      <c r="C320" s="355"/>
      <c r="D320" s="355"/>
      <c r="E320" s="355"/>
      <c r="F320" s="577"/>
      <c r="G320" s="355"/>
      <c r="H320" s="399"/>
      <c r="I320" s="355"/>
      <c r="J320" s="355"/>
      <c r="K320" s="355"/>
      <c r="L320" s="355"/>
      <c r="M320" s="577"/>
      <c r="N320" s="577"/>
      <c r="O320" s="577"/>
      <c r="P320" s="577"/>
      <c r="Q320" s="577"/>
      <c r="R320" s="577"/>
      <c r="S320" s="577"/>
      <c r="T320" s="577"/>
      <c r="U320" s="577"/>
      <c r="V320" s="577"/>
      <c r="W320" s="577"/>
      <c r="X320" s="577"/>
      <c r="Y320" s="577"/>
      <c r="Z320" s="577"/>
      <c r="AA320" s="577"/>
      <c r="AB320" s="577"/>
      <c r="AC320" s="583"/>
      <c r="AD320" s="355"/>
      <c r="AE320" s="358"/>
      <c r="AF320" s="355"/>
      <c r="AG320" s="361"/>
    </row>
    <row r="321" spans="1:33" s="369" customFormat="1" x14ac:dyDescent="0.2">
      <c r="A321" s="355"/>
      <c r="B321" s="355"/>
      <c r="C321" s="355"/>
      <c r="D321" s="355"/>
      <c r="E321" s="355"/>
      <c r="F321" s="577"/>
      <c r="G321" s="355"/>
      <c r="H321" s="399"/>
      <c r="I321" s="355"/>
      <c r="J321" s="355"/>
      <c r="K321" s="355"/>
      <c r="L321" s="355"/>
      <c r="M321" s="577"/>
      <c r="N321" s="577"/>
      <c r="O321" s="577"/>
      <c r="P321" s="577"/>
      <c r="Q321" s="577"/>
      <c r="R321" s="577"/>
      <c r="S321" s="577"/>
      <c r="T321" s="577"/>
      <c r="U321" s="577"/>
      <c r="V321" s="577"/>
      <c r="W321" s="577"/>
      <c r="X321" s="577"/>
      <c r="Y321" s="577"/>
      <c r="Z321" s="577"/>
      <c r="AA321" s="577"/>
      <c r="AB321" s="577"/>
      <c r="AC321" s="583"/>
      <c r="AD321" s="355"/>
      <c r="AE321" s="358"/>
      <c r="AF321" s="355"/>
      <c r="AG321" s="365"/>
    </row>
    <row r="322" spans="1:33" s="369" customFormat="1" x14ac:dyDescent="0.2">
      <c r="A322" s="355"/>
      <c r="B322" s="355"/>
      <c r="C322" s="355"/>
      <c r="D322" s="355"/>
      <c r="E322" s="355"/>
      <c r="F322" s="577"/>
      <c r="G322" s="355"/>
      <c r="H322" s="399"/>
      <c r="I322" s="355"/>
      <c r="J322" s="355"/>
      <c r="K322" s="355"/>
      <c r="L322" s="355"/>
      <c r="M322" s="577"/>
      <c r="N322" s="577"/>
      <c r="O322" s="577"/>
      <c r="P322" s="577"/>
      <c r="Q322" s="577"/>
      <c r="R322" s="577"/>
      <c r="S322" s="577"/>
      <c r="T322" s="577"/>
      <c r="U322" s="577"/>
      <c r="V322" s="577"/>
      <c r="W322" s="577"/>
      <c r="X322" s="577"/>
      <c r="Y322" s="577"/>
      <c r="Z322" s="577"/>
      <c r="AA322" s="577"/>
      <c r="AB322" s="577"/>
      <c r="AC322" s="583"/>
      <c r="AD322" s="355"/>
      <c r="AE322" s="358"/>
      <c r="AF322" s="355"/>
      <c r="AG322" s="355"/>
    </row>
    <row r="323" spans="1:33" s="369" customFormat="1" x14ac:dyDescent="0.2">
      <c r="A323" s="355"/>
      <c r="B323" s="355"/>
      <c r="C323" s="355"/>
      <c r="D323" s="355"/>
      <c r="E323" s="355"/>
      <c r="F323" s="577"/>
      <c r="G323" s="355"/>
      <c r="H323" s="399"/>
      <c r="I323" s="355"/>
      <c r="J323" s="355"/>
      <c r="K323" s="355"/>
      <c r="L323" s="355"/>
      <c r="M323" s="577"/>
      <c r="N323" s="577"/>
      <c r="O323" s="577"/>
      <c r="P323" s="577"/>
      <c r="Q323" s="577"/>
      <c r="R323" s="577"/>
      <c r="S323" s="577"/>
      <c r="T323" s="577"/>
      <c r="U323" s="577"/>
      <c r="V323" s="577"/>
      <c r="W323" s="577"/>
      <c r="X323" s="577"/>
      <c r="Y323" s="577"/>
      <c r="Z323" s="577"/>
      <c r="AA323" s="577"/>
      <c r="AB323" s="577"/>
      <c r="AC323" s="583"/>
      <c r="AD323" s="355"/>
      <c r="AE323" s="358"/>
      <c r="AF323" s="355"/>
      <c r="AG323" s="366"/>
    </row>
    <row r="324" spans="1:33" s="369" customFormat="1" x14ac:dyDescent="0.2">
      <c r="A324" s="355"/>
      <c r="B324" s="355"/>
      <c r="C324" s="355"/>
      <c r="D324" s="355"/>
      <c r="E324" s="355"/>
      <c r="F324" s="577"/>
      <c r="G324" s="355"/>
      <c r="H324" s="399"/>
      <c r="I324" s="355"/>
      <c r="J324" s="355"/>
      <c r="K324" s="355"/>
      <c r="L324" s="355"/>
      <c r="M324" s="577"/>
      <c r="N324" s="577"/>
      <c r="O324" s="577"/>
      <c r="P324" s="577"/>
      <c r="Q324" s="577"/>
      <c r="R324" s="577"/>
      <c r="S324" s="577"/>
      <c r="T324" s="577"/>
      <c r="U324" s="577"/>
      <c r="V324" s="577"/>
      <c r="W324" s="577"/>
      <c r="X324" s="577"/>
      <c r="Y324" s="577"/>
      <c r="Z324" s="577"/>
      <c r="AA324" s="577"/>
      <c r="AB324" s="577"/>
      <c r="AC324" s="583"/>
      <c r="AD324" s="355"/>
      <c r="AE324" s="358"/>
      <c r="AF324" s="355"/>
      <c r="AG324" s="366"/>
    </row>
    <row r="326" spans="1:33" s="367" customFormat="1" x14ac:dyDescent="0.2">
      <c r="A326" s="355"/>
      <c r="B326" s="355"/>
      <c r="C326" s="355"/>
      <c r="D326" s="355"/>
      <c r="E326" s="355"/>
      <c r="F326" s="577"/>
      <c r="G326" s="355"/>
      <c r="H326" s="399"/>
      <c r="I326" s="355"/>
      <c r="J326" s="355"/>
      <c r="K326" s="355"/>
      <c r="L326" s="355"/>
      <c r="M326" s="577"/>
      <c r="N326" s="577"/>
      <c r="O326" s="577"/>
      <c r="P326" s="577"/>
      <c r="Q326" s="577"/>
      <c r="R326" s="577"/>
      <c r="S326" s="577"/>
      <c r="T326" s="577"/>
      <c r="U326" s="577"/>
      <c r="V326" s="577"/>
      <c r="W326" s="577"/>
      <c r="X326" s="577"/>
      <c r="Y326" s="577"/>
      <c r="Z326" s="577"/>
      <c r="AA326" s="577"/>
      <c r="AB326" s="577"/>
      <c r="AC326" s="583"/>
      <c r="AD326" s="355"/>
      <c r="AE326" s="358"/>
      <c r="AF326" s="355"/>
      <c r="AG326" s="355"/>
    </row>
    <row r="327" spans="1:33" s="368" customFormat="1" x14ac:dyDescent="0.2">
      <c r="A327" s="355"/>
      <c r="B327" s="355"/>
      <c r="C327" s="355"/>
      <c r="D327" s="355"/>
      <c r="E327" s="355"/>
      <c r="F327" s="577"/>
      <c r="G327" s="355"/>
      <c r="H327" s="399"/>
      <c r="I327" s="355"/>
      <c r="J327" s="355"/>
      <c r="K327" s="355"/>
      <c r="L327" s="355"/>
      <c r="M327" s="577"/>
      <c r="N327" s="577"/>
      <c r="O327" s="577"/>
      <c r="P327" s="577"/>
      <c r="Q327" s="577"/>
      <c r="R327" s="577"/>
      <c r="S327" s="577"/>
      <c r="T327" s="577"/>
      <c r="U327" s="577"/>
      <c r="V327" s="577"/>
      <c r="W327" s="577"/>
      <c r="X327" s="577"/>
      <c r="Y327" s="577"/>
      <c r="Z327" s="577"/>
      <c r="AA327" s="577"/>
      <c r="AB327" s="577"/>
      <c r="AC327" s="583"/>
      <c r="AD327" s="355"/>
      <c r="AE327" s="358"/>
      <c r="AF327" s="355"/>
      <c r="AG327" s="369"/>
    </row>
    <row r="328" spans="1:33" s="368" customFormat="1" x14ac:dyDescent="0.2">
      <c r="A328" s="355"/>
      <c r="B328" s="355"/>
      <c r="C328" s="355"/>
      <c r="D328" s="355"/>
      <c r="E328" s="355"/>
      <c r="F328" s="577"/>
      <c r="G328" s="355"/>
      <c r="H328" s="399"/>
      <c r="I328" s="355"/>
      <c r="J328" s="355"/>
      <c r="K328" s="355"/>
      <c r="L328" s="355"/>
      <c r="M328" s="577"/>
      <c r="N328" s="577"/>
      <c r="O328" s="577"/>
      <c r="P328" s="577"/>
      <c r="Q328" s="577"/>
      <c r="R328" s="577"/>
      <c r="S328" s="577"/>
      <c r="T328" s="577"/>
      <c r="U328" s="577"/>
      <c r="V328" s="577"/>
      <c r="W328" s="577"/>
      <c r="X328" s="577"/>
      <c r="Y328" s="577"/>
      <c r="Z328" s="577"/>
      <c r="AA328" s="577"/>
      <c r="AB328" s="577"/>
      <c r="AC328" s="583"/>
      <c r="AD328" s="355"/>
      <c r="AE328" s="358"/>
      <c r="AF328" s="355"/>
      <c r="AG328" s="369"/>
    </row>
    <row r="329" spans="1:33" s="368" customFormat="1" x14ac:dyDescent="0.2">
      <c r="A329" s="355"/>
      <c r="B329" s="355"/>
      <c r="C329" s="355"/>
      <c r="D329" s="355"/>
      <c r="E329" s="355"/>
      <c r="F329" s="577"/>
      <c r="G329" s="355"/>
      <c r="H329" s="399"/>
      <c r="I329" s="355"/>
      <c r="J329" s="355"/>
      <c r="K329" s="355"/>
      <c r="L329" s="355"/>
      <c r="M329" s="577"/>
      <c r="N329" s="577"/>
      <c r="O329" s="577"/>
      <c r="P329" s="577"/>
      <c r="Q329" s="577"/>
      <c r="R329" s="577"/>
      <c r="S329" s="577"/>
      <c r="T329" s="577"/>
      <c r="U329" s="577"/>
      <c r="V329" s="577"/>
      <c r="W329" s="577"/>
      <c r="X329" s="577"/>
      <c r="Y329" s="577"/>
      <c r="Z329" s="577"/>
      <c r="AA329" s="577"/>
      <c r="AB329" s="577"/>
      <c r="AC329" s="583"/>
      <c r="AD329" s="355"/>
      <c r="AE329" s="358"/>
      <c r="AF329" s="355"/>
      <c r="AG329" s="369"/>
    </row>
    <row r="330" spans="1:33" s="368" customFormat="1" x14ac:dyDescent="0.2">
      <c r="A330" s="355"/>
      <c r="B330" s="355"/>
      <c r="C330" s="355"/>
      <c r="D330" s="355"/>
      <c r="E330" s="355"/>
      <c r="F330" s="577"/>
      <c r="G330" s="355"/>
      <c r="H330" s="399"/>
      <c r="I330" s="355"/>
      <c r="J330" s="355"/>
      <c r="K330" s="355"/>
      <c r="L330" s="355"/>
      <c r="M330" s="577"/>
      <c r="N330" s="577"/>
      <c r="O330" s="577"/>
      <c r="P330" s="577"/>
      <c r="Q330" s="577"/>
      <c r="R330" s="577"/>
      <c r="S330" s="577"/>
      <c r="T330" s="577"/>
      <c r="U330" s="577"/>
      <c r="V330" s="577"/>
      <c r="W330" s="577"/>
      <c r="X330" s="577"/>
      <c r="Y330" s="577"/>
      <c r="Z330" s="577"/>
      <c r="AA330" s="577"/>
      <c r="AB330" s="577"/>
      <c r="AC330" s="583"/>
      <c r="AD330" s="355"/>
      <c r="AE330" s="358"/>
      <c r="AF330" s="355"/>
      <c r="AG330" s="369"/>
    </row>
    <row r="331" spans="1:33" s="368" customFormat="1" x14ac:dyDescent="0.2">
      <c r="A331" s="355"/>
      <c r="B331" s="355"/>
      <c r="C331" s="355"/>
      <c r="D331" s="355"/>
      <c r="E331" s="355"/>
      <c r="F331" s="577"/>
      <c r="G331" s="355"/>
      <c r="H331" s="399"/>
      <c r="I331" s="355"/>
      <c r="J331" s="355"/>
      <c r="K331" s="355"/>
      <c r="L331" s="355"/>
      <c r="M331" s="577"/>
      <c r="N331" s="577"/>
      <c r="O331" s="577"/>
      <c r="P331" s="577"/>
      <c r="Q331" s="577"/>
      <c r="R331" s="577"/>
      <c r="S331" s="577"/>
      <c r="T331" s="577"/>
      <c r="U331" s="577"/>
      <c r="V331" s="577"/>
      <c r="W331" s="577"/>
      <c r="X331" s="577"/>
      <c r="Y331" s="577"/>
      <c r="Z331" s="577"/>
      <c r="AA331" s="577"/>
      <c r="AB331" s="577"/>
      <c r="AC331" s="583"/>
      <c r="AD331" s="355"/>
      <c r="AE331" s="358"/>
      <c r="AF331" s="355"/>
      <c r="AG331" s="369"/>
    </row>
    <row r="332" spans="1:33" s="368" customFormat="1" x14ac:dyDescent="0.2">
      <c r="A332" s="355"/>
      <c r="B332" s="355"/>
      <c r="C332" s="355"/>
      <c r="D332" s="355"/>
      <c r="E332" s="355"/>
      <c r="F332" s="577"/>
      <c r="G332" s="355"/>
      <c r="H332" s="399"/>
      <c r="I332" s="355"/>
      <c r="J332" s="355"/>
      <c r="K332" s="355"/>
      <c r="L332" s="355"/>
      <c r="M332" s="577"/>
      <c r="N332" s="577"/>
      <c r="O332" s="577"/>
      <c r="P332" s="577"/>
      <c r="Q332" s="577"/>
      <c r="R332" s="577"/>
      <c r="S332" s="577"/>
      <c r="T332" s="577"/>
      <c r="U332" s="577"/>
      <c r="V332" s="577"/>
      <c r="W332" s="577"/>
      <c r="X332" s="577"/>
      <c r="Y332" s="577"/>
      <c r="Z332" s="577"/>
      <c r="AA332" s="577"/>
      <c r="AB332" s="577"/>
      <c r="AC332" s="583"/>
      <c r="AD332" s="355"/>
      <c r="AE332" s="358"/>
      <c r="AF332" s="355"/>
      <c r="AG332" s="369"/>
    </row>
    <row r="333" spans="1:33" s="368" customFormat="1" x14ac:dyDescent="0.2">
      <c r="A333" s="355"/>
      <c r="B333" s="355"/>
      <c r="C333" s="355"/>
      <c r="D333" s="355"/>
      <c r="E333" s="355"/>
      <c r="F333" s="577"/>
      <c r="G333" s="355"/>
      <c r="H333" s="399"/>
      <c r="I333" s="355"/>
      <c r="J333" s="355"/>
      <c r="K333" s="355"/>
      <c r="L333" s="355"/>
      <c r="M333" s="577"/>
      <c r="N333" s="577"/>
      <c r="O333" s="577"/>
      <c r="P333" s="577"/>
      <c r="Q333" s="577"/>
      <c r="R333" s="577"/>
      <c r="S333" s="577"/>
      <c r="T333" s="577"/>
      <c r="U333" s="577"/>
      <c r="V333" s="577"/>
      <c r="W333" s="577"/>
      <c r="X333" s="577"/>
      <c r="Y333" s="577"/>
      <c r="Z333" s="577"/>
      <c r="AA333" s="577"/>
      <c r="AB333" s="577"/>
      <c r="AC333" s="583"/>
      <c r="AD333" s="355"/>
      <c r="AE333" s="358"/>
      <c r="AF333" s="355"/>
      <c r="AG333" s="369"/>
    </row>
    <row r="334" spans="1:33" s="367" customFormat="1" x14ac:dyDescent="0.2">
      <c r="A334" s="355"/>
      <c r="B334" s="355"/>
      <c r="C334" s="355"/>
      <c r="D334" s="355"/>
      <c r="E334" s="355"/>
      <c r="F334" s="577"/>
      <c r="G334" s="355"/>
      <c r="H334" s="399"/>
      <c r="I334" s="355"/>
      <c r="J334" s="355"/>
      <c r="K334" s="355"/>
      <c r="L334" s="355"/>
      <c r="M334" s="577"/>
      <c r="N334" s="577"/>
      <c r="O334" s="577"/>
      <c r="P334" s="577"/>
      <c r="Q334" s="577"/>
      <c r="R334" s="577"/>
      <c r="S334" s="577"/>
      <c r="T334" s="577"/>
      <c r="U334" s="577"/>
      <c r="V334" s="577"/>
      <c r="W334" s="577"/>
      <c r="X334" s="577"/>
      <c r="Y334" s="577"/>
      <c r="Z334" s="577"/>
      <c r="AA334" s="577"/>
      <c r="AB334" s="577"/>
      <c r="AC334" s="583"/>
      <c r="AD334" s="355"/>
      <c r="AE334" s="358"/>
      <c r="AF334" s="355"/>
      <c r="AG334" s="369"/>
    </row>
    <row r="335" spans="1:33" s="367" customFormat="1" ht="12.75" customHeight="1" x14ac:dyDescent="0.2">
      <c r="A335" s="355"/>
      <c r="B335" s="355"/>
      <c r="C335" s="355"/>
      <c r="D335" s="355"/>
      <c r="E335" s="355"/>
      <c r="F335" s="577"/>
      <c r="G335" s="355"/>
      <c r="H335" s="399"/>
      <c r="I335" s="355"/>
      <c r="J335" s="355"/>
      <c r="K335" s="355"/>
      <c r="L335" s="355"/>
      <c r="M335" s="577"/>
      <c r="N335" s="577"/>
      <c r="O335" s="577"/>
      <c r="P335" s="577"/>
      <c r="Q335" s="577"/>
      <c r="R335" s="577"/>
      <c r="S335" s="577"/>
      <c r="T335" s="577"/>
      <c r="U335" s="577"/>
      <c r="V335" s="577"/>
      <c r="W335" s="577"/>
      <c r="X335" s="577"/>
      <c r="Y335" s="577"/>
      <c r="Z335" s="577"/>
      <c r="AA335" s="577"/>
      <c r="AB335" s="577"/>
      <c r="AC335" s="583"/>
      <c r="AD335" s="355"/>
      <c r="AE335" s="358"/>
      <c r="AF335" s="355"/>
      <c r="AG335" s="355"/>
    </row>
    <row r="336" spans="1:33" s="367" customFormat="1" ht="12.75" customHeight="1" x14ac:dyDescent="0.2">
      <c r="A336" s="355"/>
      <c r="B336" s="355"/>
      <c r="C336" s="355"/>
      <c r="D336" s="355"/>
      <c r="E336" s="355"/>
      <c r="F336" s="577"/>
      <c r="G336" s="355"/>
      <c r="H336" s="399"/>
      <c r="I336" s="355"/>
      <c r="J336" s="355"/>
      <c r="K336" s="355"/>
      <c r="L336" s="355"/>
      <c r="M336" s="577"/>
      <c r="N336" s="577"/>
      <c r="O336" s="577"/>
      <c r="P336" s="577"/>
      <c r="Q336" s="577"/>
      <c r="R336" s="577"/>
      <c r="S336" s="577"/>
      <c r="T336" s="577"/>
      <c r="U336" s="577"/>
      <c r="V336" s="577"/>
      <c r="W336" s="577"/>
      <c r="X336" s="577"/>
      <c r="Y336" s="577"/>
      <c r="Z336" s="577"/>
      <c r="AA336" s="577"/>
      <c r="AB336" s="577"/>
      <c r="AC336" s="583"/>
      <c r="AD336" s="355"/>
      <c r="AE336" s="358"/>
      <c r="AF336" s="355"/>
    </row>
    <row r="337" spans="1:33" s="367" customFormat="1" ht="12.75" customHeight="1" x14ac:dyDescent="0.2">
      <c r="A337" s="355"/>
      <c r="B337" s="355"/>
      <c r="C337" s="355"/>
      <c r="D337" s="355"/>
      <c r="E337" s="355"/>
      <c r="F337" s="577"/>
      <c r="G337" s="355"/>
      <c r="H337" s="399"/>
      <c r="I337" s="355"/>
      <c r="J337" s="355"/>
      <c r="K337" s="355"/>
      <c r="L337" s="355"/>
      <c r="M337" s="577"/>
      <c r="N337" s="577"/>
      <c r="O337" s="577"/>
      <c r="P337" s="577"/>
      <c r="Q337" s="577"/>
      <c r="R337" s="577"/>
      <c r="S337" s="577"/>
      <c r="T337" s="577"/>
      <c r="U337" s="577"/>
      <c r="V337" s="577"/>
      <c r="W337" s="577"/>
      <c r="X337" s="577"/>
      <c r="Y337" s="577"/>
      <c r="Z337" s="577"/>
      <c r="AA337" s="577"/>
      <c r="AB337" s="577"/>
      <c r="AC337" s="583"/>
      <c r="AD337" s="355"/>
      <c r="AE337" s="358"/>
      <c r="AF337" s="355"/>
      <c r="AG337" s="368"/>
    </row>
    <row r="338" spans="1:33" s="367" customFormat="1" ht="12.75" customHeight="1" x14ac:dyDescent="0.2">
      <c r="A338" s="355"/>
      <c r="B338" s="355"/>
      <c r="C338" s="355"/>
      <c r="D338" s="355"/>
      <c r="E338" s="355"/>
      <c r="F338" s="577"/>
      <c r="G338" s="355"/>
      <c r="H338" s="399"/>
      <c r="I338" s="355"/>
      <c r="J338" s="355"/>
      <c r="K338" s="355"/>
      <c r="L338" s="355"/>
      <c r="M338" s="577"/>
      <c r="N338" s="577"/>
      <c r="O338" s="577"/>
      <c r="P338" s="577"/>
      <c r="Q338" s="577"/>
      <c r="R338" s="577"/>
      <c r="S338" s="577"/>
      <c r="T338" s="577"/>
      <c r="U338" s="577"/>
      <c r="V338" s="577"/>
      <c r="W338" s="577"/>
      <c r="X338" s="577"/>
      <c r="Y338" s="577"/>
      <c r="Z338" s="577"/>
      <c r="AA338" s="577"/>
      <c r="AB338" s="577"/>
      <c r="AC338" s="583"/>
      <c r="AD338" s="355"/>
      <c r="AE338" s="358"/>
      <c r="AF338" s="355"/>
      <c r="AG338" s="368"/>
    </row>
    <row r="339" spans="1:33" s="367" customFormat="1" ht="12.75" customHeight="1" x14ac:dyDescent="0.2">
      <c r="A339" s="355"/>
      <c r="B339" s="355"/>
      <c r="C339" s="355"/>
      <c r="D339" s="355"/>
      <c r="E339" s="355"/>
      <c r="F339" s="577"/>
      <c r="G339" s="355"/>
      <c r="H339" s="399"/>
      <c r="I339" s="355"/>
      <c r="J339" s="355"/>
      <c r="K339" s="355"/>
      <c r="L339" s="355"/>
      <c r="M339" s="577"/>
      <c r="N339" s="577"/>
      <c r="O339" s="577"/>
      <c r="P339" s="577"/>
      <c r="Q339" s="577"/>
      <c r="R339" s="577"/>
      <c r="S339" s="577"/>
      <c r="T339" s="577"/>
      <c r="U339" s="577"/>
      <c r="V339" s="577"/>
      <c r="W339" s="577"/>
      <c r="X339" s="577"/>
      <c r="Y339" s="577"/>
      <c r="Z339" s="577"/>
      <c r="AA339" s="577"/>
      <c r="AB339" s="577"/>
      <c r="AC339" s="583"/>
      <c r="AD339" s="355"/>
      <c r="AE339" s="358"/>
      <c r="AF339" s="355"/>
      <c r="AG339" s="368"/>
    </row>
    <row r="340" spans="1:33" s="367" customFormat="1" ht="12.75" customHeight="1" x14ac:dyDescent="0.2">
      <c r="A340" s="355"/>
      <c r="B340" s="355"/>
      <c r="C340" s="355"/>
      <c r="D340" s="355"/>
      <c r="E340" s="355"/>
      <c r="F340" s="577"/>
      <c r="G340" s="355"/>
      <c r="H340" s="399"/>
      <c r="I340" s="355"/>
      <c r="J340" s="355"/>
      <c r="K340" s="355"/>
      <c r="L340" s="355"/>
      <c r="M340" s="577"/>
      <c r="N340" s="577"/>
      <c r="O340" s="577"/>
      <c r="P340" s="577"/>
      <c r="Q340" s="577"/>
      <c r="R340" s="577"/>
      <c r="S340" s="577"/>
      <c r="T340" s="577"/>
      <c r="U340" s="577"/>
      <c r="V340" s="577"/>
      <c r="W340" s="577"/>
      <c r="X340" s="577"/>
      <c r="Y340" s="577"/>
      <c r="Z340" s="577"/>
      <c r="AA340" s="577"/>
      <c r="AB340" s="577"/>
      <c r="AC340" s="583"/>
      <c r="AD340" s="355"/>
      <c r="AE340" s="358"/>
      <c r="AF340" s="355"/>
      <c r="AG340" s="368"/>
    </row>
    <row r="341" spans="1:33" s="367" customFormat="1" ht="12.75" customHeight="1" x14ac:dyDescent="0.2">
      <c r="A341" s="355"/>
      <c r="B341" s="355"/>
      <c r="C341" s="355"/>
      <c r="D341" s="355"/>
      <c r="E341" s="355"/>
      <c r="F341" s="577"/>
      <c r="G341" s="355"/>
      <c r="H341" s="399"/>
      <c r="I341" s="355"/>
      <c r="J341" s="355"/>
      <c r="K341" s="355"/>
      <c r="L341" s="355"/>
      <c r="M341" s="577"/>
      <c r="N341" s="577"/>
      <c r="O341" s="577"/>
      <c r="P341" s="577"/>
      <c r="Q341" s="577"/>
      <c r="R341" s="577"/>
      <c r="S341" s="577"/>
      <c r="T341" s="577"/>
      <c r="U341" s="577"/>
      <c r="V341" s="577"/>
      <c r="W341" s="577"/>
      <c r="X341" s="577"/>
      <c r="Y341" s="577"/>
      <c r="Z341" s="577"/>
      <c r="AA341" s="577"/>
      <c r="AB341" s="577"/>
      <c r="AC341" s="583"/>
      <c r="AD341" s="355"/>
      <c r="AE341" s="358"/>
      <c r="AF341" s="355"/>
      <c r="AG341" s="368"/>
    </row>
    <row r="342" spans="1:33" s="367" customFormat="1" ht="12.75" customHeight="1" x14ac:dyDescent="0.2">
      <c r="A342" s="355"/>
      <c r="B342" s="355"/>
      <c r="C342" s="355"/>
      <c r="D342" s="355"/>
      <c r="E342" s="355"/>
      <c r="F342" s="577"/>
      <c r="G342" s="355"/>
      <c r="H342" s="399"/>
      <c r="I342" s="355"/>
      <c r="J342" s="355"/>
      <c r="K342" s="355"/>
      <c r="L342" s="355"/>
      <c r="M342" s="577"/>
      <c r="N342" s="577"/>
      <c r="O342" s="577"/>
      <c r="P342" s="577"/>
      <c r="Q342" s="577"/>
      <c r="R342" s="577"/>
      <c r="S342" s="577"/>
      <c r="T342" s="577"/>
      <c r="U342" s="577"/>
      <c r="V342" s="577"/>
      <c r="W342" s="577"/>
      <c r="X342" s="577"/>
      <c r="Y342" s="577"/>
      <c r="Z342" s="577"/>
      <c r="AA342" s="577"/>
      <c r="AB342" s="577"/>
      <c r="AC342" s="583"/>
      <c r="AD342" s="355"/>
      <c r="AE342" s="358"/>
      <c r="AF342" s="355"/>
      <c r="AG342" s="368"/>
    </row>
    <row r="343" spans="1:33" s="367" customFormat="1" ht="12.75" customHeight="1" x14ac:dyDescent="0.2">
      <c r="A343" s="355"/>
      <c r="B343" s="355"/>
      <c r="C343" s="355"/>
      <c r="D343" s="355"/>
      <c r="E343" s="355"/>
      <c r="F343" s="577"/>
      <c r="G343" s="355"/>
      <c r="H343" s="399"/>
      <c r="I343" s="355"/>
      <c r="J343" s="355"/>
      <c r="K343" s="355"/>
      <c r="L343" s="355"/>
      <c r="M343" s="577"/>
      <c r="N343" s="577"/>
      <c r="O343" s="577"/>
      <c r="P343" s="577"/>
      <c r="Q343" s="577"/>
      <c r="R343" s="577"/>
      <c r="S343" s="577"/>
      <c r="T343" s="577"/>
      <c r="U343" s="577"/>
      <c r="V343" s="577"/>
      <c r="W343" s="577"/>
      <c r="X343" s="577"/>
      <c r="Y343" s="577"/>
      <c r="Z343" s="577"/>
      <c r="AA343" s="577"/>
      <c r="AB343" s="577"/>
      <c r="AC343" s="583"/>
      <c r="AD343" s="355"/>
      <c r="AE343" s="358"/>
      <c r="AF343" s="355"/>
      <c r="AG343" s="368"/>
    </row>
    <row r="344" spans="1:33" x14ac:dyDescent="0.2">
      <c r="AG344" s="367"/>
    </row>
    <row r="345" spans="1:33" x14ac:dyDescent="0.2">
      <c r="AG345" s="367"/>
    </row>
    <row r="346" spans="1:33" x14ac:dyDescent="0.2">
      <c r="AG346" s="367"/>
    </row>
    <row r="347" spans="1:33" x14ac:dyDescent="0.2">
      <c r="AG347" s="367"/>
    </row>
    <row r="348" spans="1:33" x14ac:dyDescent="0.2">
      <c r="AG348" s="367"/>
    </row>
    <row r="349" spans="1:33" x14ac:dyDescent="0.2">
      <c r="AG349" s="367"/>
    </row>
    <row r="350" spans="1:33" x14ac:dyDescent="0.2">
      <c r="AG350" s="367"/>
    </row>
    <row r="351" spans="1:33" x14ac:dyDescent="0.2">
      <c r="AG351" s="367"/>
    </row>
    <row r="352" spans="1:33" x14ac:dyDescent="0.2">
      <c r="AG352" s="367"/>
    </row>
    <row r="353" spans="33:33" x14ac:dyDescent="0.2">
      <c r="AG353" s="367"/>
    </row>
  </sheetData>
  <phoneticPr fontId="9" type="noConversion"/>
  <printOptions horizontalCentered="1"/>
  <pageMargins left="0.2" right="0.35" top="0.1" bottom="0.28000000000000003" header="0.2" footer="0.18"/>
  <pageSetup paperSize="2" scale="45" orientation="landscape" blackAndWhite="1" verticalDpi="300" r:id="rId1"/>
  <headerFooter alignWithMargins="0">
    <oddHeader>&amp;A</oddHeader>
    <oddFoote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BtnAddRow">
              <controlPr defaultSize="0" print="0" autoFill="0" autoLine="0" autoPict="0" macro="[0]!addrow">
                <anchor moveWithCells="1" sizeWithCells="1">
                  <from>
                    <xdr:col>0</xdr:col>
                    <xdr:colOff>0</xdr:colOff>
                    <xdr:row>0</xdr:row>
                    <xdr:rowOff>0</xdr:rowOff>
                  </from>
                  <to>
                    <xdr:col>2</xdr:col>
                    <xdr:colOff>0</xdr:colOff>
                    <xdr:row>1</xdr:row>
                    <xdr:rowOff>0</xdr:rowOff>
                  </to>
                </anchor>
              </controlPr>
            </control>
          </mc:Choice>
        </mc:AlternateContent>
        <mc:AlternateContent xmlns:mc="http://schemas.openxmlformats.org/markup-compatibility/2006">
          <mc:Choice Requires="x14">
            <control shapeId="2051" r:id="rId5" name="Button 3">
              <controlPr defaultSize="0" print="0" autoFill="0" autoLine="0" autoPict="0" macro="[0]!SortCounter">
                <anchor moveWithCells="1" sizeWithCells="1">
                  <from>
                    <xdr:col>3</xdr:col>
                    <xdr:colOff>314325</xdr:colOff>
                    <xdr:row>0</xdr:row>
                    <xdr:rowOff>0</xdr:rowOff>
                  </from>
                  <to>
                    <xdr:col>6</xdr:col>
                    <xdr:colOff>0</xdr:colOff>
                    <xdr:row>0</xdr:row>
                    <xdr:rowOff>0</xdr:rowOff>
                  </to>
                </anchor>
              </controlPr>
            </control>
          </mc:Choice>
        </mc:AlternateContent>
        <mc:AlternateContent xmlns:mc="http://schemas.openxmlformats.org/markup-compatibility/2006">
          <mc:Choice Requires="x14">
            <control shapeId="2302" r:id="rId6" name="BtnAddRow">
              <controlPr defaultSize="0" print="0" autoFill="0" autoLine="0" autoPict="0" macro="[0]!mmcrEPEPre">
                <anchor moveWithCells="1" sizeWithCells="1">
                  <from>
                    <xdr:col>7</xdr:col>
                    <xdr:colOff>200025</xdr:colOff>
                    <xdr:row>135</xdr:row>
                    <xdr:rowOff>171450</xdr:rowOff>
                  </from>
                  <to>
                    <xdr:col>12</xdr:col>
                    <xdr:colOff>95250</xdr:colOff>
                    <xdr:row>136</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5490B-9289-4885-AEDC-A4AC8F0B1322}">
  <sheetPr codeName="Sheet4">
    <pageSetUpPr fitToPage="1"/>
  </sheetPr>
  <dimension ref="A1:L55"/>
  <sheetViews>
    <sheetView zoomScale="80" workbookViewId="0">
      <selection activeCell="B20" sqref="B20"/>
    </sheetView>
  </sheetViews>
  <sheetFormatPr defaultRowHeight="12.75" x14ac:dyDescent="0.2"/>
  <cols>
    <col min="1" max="1" width="34" style="2" customWidth="1"/>
    <col min="2" max="2" width="40.5703125" style="2" customWidth="1"/>
    <col min="3" max="5" width="9.140625" style="2"/>
    <col min="6" max="6" width="16" style="2" customWidth="1"/>
    <col min="7" max="7" width="11.28515625" style="2" customWidth="1"/>
    <col min="8" max="8" width="10.42578125" style="2" customWidth="1"/>
    <col min="9" max="9" width="9.140625" style="2"/>
    <col min="10" max="10" width="11.5703125" style="2" customWidth="1"/>
    <col min="11" max="11" width="11.85546875" style="2" customWidth="1"/>
    <col min="12" max="12" width="13.42578125" style="2" customWidth="1"/>
    <col min="13" max="16384" width="9.140625" style="2"/>
  </cols>
  <sheetData>
    <row r="1" spans="1:8" x14ac:dyDescent="0.2">
      <c r="B1" s="217"/>
      <c r="C1" s="2" t="str">
        <f xml:space="preserve"> "MUST be updated DAILY"</f>
        <v>MUST be updated DAILY</v>
      </c>
    </row>
    <row r="2" spans="1:8" x14ac:dyDescent="0.2">
      <c r="B2" s="218"/>
      <c r="C2" s="2" t="str">
        <f xml:space="preserve"> "MAY be updated DAILY"</f>
        <v>MAY be updated DAILY</v>
      </c>
    </row>
    <row r="3" spans="1:8" x14ac:dyDescent="0.2">
      <c r="B3" s="219"/>
      <c r="C3" s="2" t="str">
        <f xml:space="preserve"> "MUST be updated MONTHLY"</f>
        <v>MUST be updated MONTHLY</v>
      </c>
    </row>
    <row r="5" spans="1:8" x14ac:dyDescent="0.2">
      <c r="A5" s="1" t="s">
        <v>69</v>
      </c>
      <c r="E5" s="1" t="s">
        <v>70</v>
      </c>
    </row>
    <row r="6" spans="1:8" x14ac:dyDescent="0.2">
      <c r="A6" s="2" t="s">
        <v>71</v>
      </c>
      <c r="C6" s="220">
        <v>1.4550000000000001</v>
      </c>
      <c r="E6" s="2" t="s">
        <v>72</v>
      </c>
      <c r="G6" s="220">
        <v>1.5149999999999999</v>
      </c>
    </row>
    <row r="7" spans="1:8" x14ac:dyDescent="0.2">
      <c r="A7" s="2" t="s">
        <v>73</v>
      </c>
      <c r="C7" s="221">
        <f>J49</f>
        <v>2.09</v>
      </c>
      <c r="E7" s="2" t="s">
        <v>74</v>
      </c>
      <c r="G7" s="221">
        <f>K49</f>
        <v>1.96</v>
      </c>
    </row>
    <row r="8" spans="1:8" x14ac:dyDescent="0.2">
      <c r="A8" s="2" t="s">
        <v>75</v>
      </c>
      <c r="C8" s="221">
        <f>J49</f>
        <v>2.09</v>
      </c>
    </row>
    <row r="10" spans="1:8" x14ac:dyDescent="0.2">
      <c r="A10" s="2" t="s">
        <v>76</v>
      </c>
      <c r="C10" s="3"/>
      <c r="D10" s="3"/>
      <c r="E10" s="3"/>
      <c r="F10" s="3" t="s">
        <v>77</v>
      </c>
      <c r="G10" s="3" t="s">
        <v>78</v>
      </c>
    </row>
    <row r="11" spans="1:8" x14ac:dyDescent="0.2">
      <c r="C11" s="5" t="s">
        <v>79</v>
      </c>
      <c r="D11" s="5" t="s">
        <v>80</v>
      </c>
      <c r="E11" s="5" t="s">
        <v>81</v>
      </c>
      <c r="F11" s="5" t="s">
        <v>82</v>
      </c>
      <c r="G11" s="5" t="s">
        <v>83</v>
      </c>
    </row>
    <row r="12" spans="1:8" x14ac:dyDescent="0.2">
      <c r="B12" s="222" t="s">
        <v>57</v>
      </c>
      <c r="C12" s="223">
        <v>1</v>
      </c>
      <c r="D12" s="223">
        <v>0</v>
      </c>
      <c r="E12" s="30" t="e">
        <f ca="1">-INDEX(Economics!$A$34:$D$45,MATCH(B12,Economics!$A$34:$A$45,0),4)/F12</f>
        <v>#NAME?</v>
      </c>
      <c r="F12" s="31">
        <f>(D12*$C$6)+(C12*$C$7)</f>
        <v>2.09</v>
      </c>
      <c r="G12" s="30" t="e">
        <f ca="1">E12*F12</f>
        <v>#NAME?</v>
      </c>
      <c r="H12" s="31"/>
    </row>
    <row r="13" spans="1:8" x14ac:dyDescent="0.2">
      <c r="B13" s="222" t="s">
        <v>56</v>
      </c>
      <c r="C13" s="223">
        <v>1</v>
      </c>
      <c r="D13" s="223">
        <v>0</v>
      </c>
      <c r="E13" s="30" t="e">
        <f ca="1">-INDEX(Economics!$A$34:$D$45,MATCH(Fuel!B13,Economics!$A$34:$A$45,0),4)/Fuel!F13</f>
        <v>#NAME?</v>
      </c>
      <c r="F13" s="31">
        <f>(D13*$C$6)+(C13*$C$7)</f>
        <v>2.09</v>
      </c>
      <c r="G13" s="30" t="e">
        <f ca="1">E13*F13</f>
        <v>#NAME?</v>
      </c>
      <c r="H13" s="31"/>
    </row>
    <row r="14" spans="1:8" x14ac:dyDescent="0.2">
      <c r="B14" s="222" t="s">
        <v>55</v>
      </c>
      <c r="C14" s="223">
        <v>1</v>
      </c>
      <c r="D14" s="223">
        <v>0</v>
      </c>
      <c r="E14" s="30" t="e">
        <f ca="1">-INDEX(Economics!$A$34:$D$45,MATCH(Fuel!B14,Economics!$A$34:$A$45,0),4)/Fuel!F14</f>
        <v>#NAME?</v>
      </c>
      <c r="F14" s="31">
        <f>(D14*$C$6)+(C14*$C$7)</f>
        <v>2.09</v>
      </c>
      <c r="G14" s="30" t="e">
        <f ca="1">E14*F14</f>
        <v>#NAME?</v>
      </c>
      <c r="H14" s="31"/>
    </row>
    <row r="15" spans="1:8" x14ac:dyDescent="0.2">
      <c r="B15" s="224" t="s">
        <v>18</v>
      </c>
      <c r="E15" s="32" t="e">
        <f ca="1">SUM(E12:E14)</f>
        <v>#NAME?</v>
      </c>
      <c r="F15" s="33"/>
      <c r="G15" s="32" t="e">
        <f ca="1">SUM(G12:G14)</f>
        <v>#NAME?</v>
      </c>
      <c r="H15" s="31"/>
    </row>
    <row r="16" spans="1:8" x14ac:dyDescent="0.2">
      <c r="E16" s="30"/>
      <c r="F16" s="31"/>
      <c r="G16" s="31"/>
      <c r="H16" s="31"/>
    </row>
    <row r="17" spans="1:12" x14ac:dyDescent="0.2">
      <c r="A17" s="2" t="s">
        <v>84</v>
      </c>
      <c r="F17" s="31"/>
      <c r="G17" s="31"/>
      <c r="H17" s="31"/>
    </row>
    <row r="18" spans="1:12" x14ac:dyDescent="0.2">
      <c r="B18" s="2" t="s">
        <v>54</v>
      </c>
      <c r="C18" s="223">
        <v>1</v>
      </c>
      <c r="D18" s="223">
        <v>0</v>
      </c>
      <c r="E18" s="30" t="e">
        <f ca="1">-INDEX(Economics!$A$34:$D$45,MATCH(Fuel!B18,Economics!$A$34:$A$45,0),4)/Fuel!F18</f>
        <v>#NAME?</v>
      </c>
      <c r="F18" s="33">
        <f>C18*G7+D18*G6</f>
        <v>1.96</v>
      </c>
      <c r="G18" s="32" t="e">
        <f ca="1">F18*E18</f>
        <v>#NAME?</v>
      </c>
    </row>
    <row r="19" spans="1:12" x14ac:dyDescent="0.2">
      <c r="C19" s="34"/>
      <c r="D19" s="34"/>
      <c r="E19" s="30"/>
      <c r="F19" s="31"/>
      <c r="G19" s="30"/>
    </row>
    <row r="20" spans="1:12" x14ac:dyDescent="0.2">
      <c r="I20" s="225" t="s">
        <v>85</v>
      </c>
      <c r="J20" s="226"/>
      <c r="K20" s="226"/>
      <c r="L20" s="227"/>
    </row>
    <row r="21" spans="1:12" x14ac:dyDescent="0.2">
      <c r="A21" s="2" t="s">
        <v>86</v>
      </c>
      <c r="E21" s="30"/>
      <c r="F21" s="31"/>
      <c r="I21" s="228" t="s">
        <v>87</v>
      </c>
      <c r="J21" s="3" t="s">
        <v>88</v>
      </c>
      <c r="K21" s="3"/>
      <c r="L21" s="229"/>
    </row>
    <row r="22" spans="1:12" x14ac:dyDescent="0.2">
      <c r="B22" s="222" t="s">
        <v>53</v>
      </c>
      <c r="C22" s="223">
        <v>1</v>
      </c>
      <c r="D22" s="223">
        <v>0</v>
      </c>
      <c r="E22" s="30" t="e">
        <f ca="1">-INDEX(Economics!$A$34:$D$45,MATCH(Fuel!B22,Economics!$A$34:$A$45,0),4)/Fuel!F22</f>
        <v>#NAME?</v>
      </c>
      <c r="F22" s="31">
        <f>IF($I$22=1,C22*$C$8,C22*$G$7)+IF($J$22=1,D22*$C$6,D22*$G$6)</f>
        <v>1.96</v>
      </c>
      <c r="G22" s="30" t="e">
        <f t="shared" ref="G22:G29" ca="1" si="0">F22*E22</f>
        <v>#NAME?</v>
      </c>
      <c r="I22" s="230">
        <f>IF(C8&lt;G7,1,0)</f>
        <v>0</v>
      </c>
      <c r="J22" s="230">
        <f>IF(C6&lt;G6,1,0)</f>
        <v>1</v>
      </c>
      <c r="K22" s="231"/>
      <c r="L22" s="232"/>
    </row>
    <row r="23" spans="1:12" x14ac:dyDescent="0.2">
      <c r="B23" s="222" t="s">
        <v>51</v>
      </c>
      <c r="C23" s="223">
        <v>1</v>
      </c>
      <c r="D23" s="223">
        <v>0</v>
      </c>
      <c r="E23" s="30" t="e">
        <f ca="1">-INDEX(Economics!$A$34:$D$45,MATCH(Fuel!B23,Economics!$A$34:$A$45,0),4)/Fuel!F23</f>
        <v>#NAME?</v>
      </c>
      <c r="F23" s="31">
        <f t="shared" ref="F23:F29" si="1">IF($I$22=1,C23*$C$8,C23*$G$7)+IF($J$22=1,D23*$C$6,D23*$G$6)</f>
        <v>1.96</v>
      </c>
      <c r="G23" s="30" t="e">
        <f t="shared" ca="1" si="0"/>
        <v>#NAME?</v>
      </c>
      <c r="I23" s="35"/>
      <c r="J23" s="35"/>
      <c r="K23" s="35"/>
    </row>
    <row r="24" spans="1:12" x14ac:dyDescent="0.2">
      <c r="B24" s="222" t="s">
        <v>52</v>
      </c>
      <c r="C24" s="223">
        <v>1</v>
      </c>
      <c r="D24" s="223">
        <v>0</v>
      </c>
      <c r="E24" s="30" t="e">
        <f ca="1">-INDEX(Economics!$A$34:$D$45,MATCH(Fuel!B24,Economics!$A$34:$A$45,0),4)/Fuel!F24</f>
        <v>#NAME?</v>
      </c>
      <c r="F24" s="31">
        <f t="shared" si="1"/>
        <v>1.96</v>
      </c>
      <c r="G24" s="30" t="e">
        <f t="shared" ca="1" si="0"/>
        <v>#NAME?</v>
      </c>
      <c r="I24" s="29"/>
      <c r="J24" s="29"/>
      <c r="K24" s="29"/>
    </row>
    <row r="25" spans="1:12" x14ac:dyDescent="0.2">
      <c r="B25" s="222" t="s">
        <v>48</v>
      </c>
      <c r="C25" s="223">
        <v>1</v>
      </c>
      <c r="D25" s="223">
        <v>0</v>
      </c>
      <c r="E25" s="30" t="e">
        <f ca="1">-INDEX(Economics!$A$34:$D$45,MATCH(Fuel!B25,Economics!$A$34:$A$45,0),4)/Fuel!F25</f>
        <v>#NAME?</v>
      </c>
      <c r="F25" s="31">
        <f t="shared" si="1"/>
        <v>1.96</v>
      </c>
      <c r="G25" s="30" t="e">
        <f t="shared" ca="1" si="0"/>
        <v>#NAME?</v>
      </c>
      <c r="I25" s="29"/>
      <c r="J25" s="29"/>
      <c r="K25" s="29"/>
    </row>
    <row r="26" spans="1:12" x14ac:dyDescent="0.2">
      <c r="B26" s="222" t="s">
        <v>47</v>
      </c>
      <c r="C26" s="223">
        <v>1</v>
      </c>
      <c r="D26" s="223">
        <v>0</v>
      </c>
      <c r="E26" s="30" t="e">
        <f ca="1">-INDEX(Economics!$A$34:$D$45,MATCH(Fuel!B26,Economics!$A$34:$A$45,0),4)/Fuel!F26</f>
        <v>#NAME?</v>
      </c>
      <c r="F26" s="31">
        <f t="shared" si="1"/>
        <v>1.96</v>
      </c>
      <c r="G26" s="30" t="e">
        <f t="shared" ca="1" si="0"/>
        <v>#NAME?</v>
      </c>
      <c r="I26" s="29"/>
      <c r="J26" s="29"/>
      <c r="K26" s="29"/>
    </row>
    <row r="27" spans="1:12" x14ac:dyDescent="0.2">
      <c r="B27" s="233" t="s">
        <v>46</v>
      </c>
      <c r="C27" s="223">
        <v>1</v>
      </c>
      <c r="D27" s="223">
        <v>0</v>
      </c>
      <c r="E27" s="30" t="e">
        <f ca="1">-INDEX(Economics!$A$34:$D$45,MATCH(Fuel!B27,Economics!$A$34:$A$45,0),4)/Fuel!F27</f>
        <v>#NAME?</v>
      </c>
      <c r="F27" s="31">
        <f t="shared" si="1"/>
        <v>1.96</v>
      </c>
      <c r="G27" s="30" t="e">
        <f t="shared" ca="1" si="0"/>
        <v>#NAME?</v>
      </c>
      <c r="I27" s="29"/>
      <c r="J27" s="29"/>
      <c r="K27" s="29"/>
    </row>
    <row r="28" spans="1:12" x14ac:dyDescent="0.2">
      <c r="B28" s="222" t="s">
        <v>49</v>
      </c>
      <c r="C28" s="223">
        <v>1</v>
      </c>
      <c r="D28" s="223">
        <v>0</v>
      </c>
      <c r="E28" s="30" t="e">
        <f ca="1">-INDEX(Economics!$A$34:$D$45,MATCH(Fuel!B28,Economics!$A$34:$A$45,0),4)/Fuel!F28</f>
        <v>#NAME?</v>
      </c>
      <c r="F28" s="31">
        <f t="shared" si="1"/>
        <v>1.96</v>
      </c>
      <c r="G28" s="30" t="e">
        <f t="shared" ca="1" si="0"/>
        <v>#NAME?</v>
      </c>
      <c r="I28" s="29"/>
      <c r="J28" s="29"/>
      <c r="K28" s="29"/>
    </row>
    <row r="29" spans="1:12" x14ac:dyDescent="0.2">
      <c r="B29" s="222" t="s">
        <v>50</v>
      </c>
      <c r="C29" s="223">
        <v>1</v>
      </c>
      <c r="D29" s="223">
        <v>0</v>
      </c>
      <c r="E29" s="30" t="e">
        <f ca="1">-INDEX(Economics!$A$34:$D$45,MATCH(Fuel!B29,Economics!$A$34:$A$45,0),4)/Fuel!F29</f>
        <v>#NAME?</v>
      </c>
      <c r="F29" s="31">
        <f t="shared" si="1"/>
        <v>1.96</v>
      </c>
      <c r="G29" s="30" t="e">
        <f t="shared" ca="1" si="0"/>
        <v>#NAME?</v>
      </c>
      <c r="I29" s="29"/>
      <c r="J29" s="29"/>
      <c r="K29" s="29"/>
    </row>
    <row r="30" spans="1:12" x14ac:dyDescent="0.2">
      <c r="B30" s="224"/>
      <c r="C30" s="34"/>
      <c r="D30" s="34"/>
      <c r="E30" s="32" t="e">
        <f ca="1">SUM(E22:E29)</f>
        <v>#NAME?</v>
      </c>
      <c r="F30" s="33"/>
      <c r="G30" s="32" t="e">
        <f ca="1">SUM(G22:G29)</f>
        <v>#NAME?</v>
      </c>
      <c r="I30" s="29"/>
      <c r="J30" s="29"/>
      <c r="K30" s="29"/>
    </row>
    <row r="31" spans="1:12" x14ac:dyDescent="0.2">
      <c r="B31" s="224"/>
      <c r="I31" s="29"/>
      <c r="J31" s="29"/>
      <c r="K31" s="29"/>
    </row>
    <row r="32" spans="1:12" ht="13.5" thickBot="1" x14ac:dyDescent="0.25">
      <c r="B32" s="224" t="s">
        <v>18</v>
      </c>
      <c r="E32" s="6" t="e">
        <f ca="1">E15+E18+E30</f>
        <v>#NAME?</v>
      </c>
      <c r="F32" s="7"/>
      <c r="G32" s="6" t="e">
        <f ca="1">G15+G18+G30</f>
        <v>#NAME?</v>
      </c>
    </row>
    <row r="33" spans="1:11" ht="13.5" thickTop="1" x14ac:dyDescent="0.2"/>
    <row r="34" spans="1:11" x14ac:dyDescent="0.2">
      <c r="A34" s="8" t="s">
        <v>89</v>
      </c>
    </row>
    <row r="35" spans="1:11" ht="27.75" customHeight="1" x14ac:dyDescent="0.2">
      <c r="A35" s="234" t="s">
        <v>90</v>
      </c>
    </row>
    <row r="36" spans="1:11" x14ac:dyDescent="0.2">
      <c r="A36" s="1" t="s">
        <v>91</v>
      </c>
    </row>
    <row r="37" spans="1:11" ht="39.75" customHeight="1" x14ac:dyDescent="0.2">
      <c r="A37" s="9" t="s">
        <v>92</v>
      </c>
      <c r="B37" s="10"/>
      <c r="C37" s="9" t="s">
        <v>93</v>
      </c>
      <c r="D37" s="10"/>
      <c r="E37" s="9" t="s">
        <v>8</v>
      </c>
      <c r="F37" s="10"/>
      <c r="G37" s="9" t="s">
        <v>94</v>
      </c>
      <c r="H37" s="9" t="s">
        <v>95</v>
      </c>
      <c r="I37" s="10"/>
      <c r="J37" s="9" t="s">
        <v>96</v>
      </c>
      <c r="K37" s="9" t="s">
        <v>97</v>
      </c>
    </row>
    <row r="38" spans="1:11" x14ac:dyDescent="0.2">
      <c r="A38" s="219" t="s">
        <v>98</v>
      </c>
      <c r="B38" s="224" t="s">
        <v>99</v>
      </c>
      <c r="C38" s="235">
        <v>2.09</v>
      </c>
      <c r="E38" s="236">
        <v>15000</v>
      </c>
      <c r="G38" s="236">
        <v>0</v>
      </c>
      <c r="H38" s="236">
        <v>15000</v>
      </c>
      <c r="J38" s="30">
        <f t="shared" ref="J38:J43" si="2">30*G38*C38</f>
        <v>0</v>
      </c>
      <c r="K38" s="30">
        <f t="shared" ref="K38:K43" si="3">30*H38*C38</f>
        <v>940499.99999999988</v>
      </c>
    </row>
    <row r="39" spans="1:11" x14ac:dyDescent="0.2">
      <c r="A39" s="219" t="s">
        <v>100</v>
      </c>
      <c r="B39" s="224" t="s">
        <v>101</v>
      </c>
      <c r="C39" s="303">
        <v>2.09</v>
      </c>
      <c r="E39" s="236">
        <v>10000</v>
      </c>
      <c r="G39" s="236">
        <v>10000</v>
      </c>
      <c r="H39" s="236">
        <v>0</v>
      </c>
      <c r="J39" s="30">
        <f t="shared" si="2"/>
        <v>627000</v>
      </c>
      <c r="K39" s="30">
        <f t="shared" si="3"/>
        <v>0</v>
      </c>
    </row>
    <row r="40" spans="1:11" x14ac:dyDescent="0.2">
      <c r="A40" s="219" t="s">
        <v>102</v>
      </c>
      <c r="B40" s="224" t="s">
        <v>103</v>
      </c>
      <c r="C40" s="235">
        <v>2.09</v>
      </c>
      <c r="E40" s="236">
        <v>15050</v>
      </c>
      <c r="G40" s="236">
        <v>15050</v>
      </c>
      <c r="H40" s="236">
        <v>0</v>
      </c>
      <c r="J40" s="30">
        <f t="shared" si="2"/>
        <v>943634.99999999988</v>
      </c>
      <c r="K40" s="30">
        <f t="shared" si="3"/>
        <v>0</v>
      </c>
    </row>
    <row r="41" spans="1:11" x14ac:dyDescent="0.2">
      <c r="A41" s="219" t="s">
        <v>64</v>
      </c>
      <c r="B41" s="224" t="s">
        <v>103</v>
      </c>
      <c r="C41" s="235">
        <v>2.09</v>
      </c>
      <c r="E41" s="236">
        <v>10000</v>
      </c>
      <c r="G41" s="236">
        <v>10000</v>
      </c>
      <c r="H41" s="236">
        <v>0</v>
      </c>
      <c r="J41" s="30">
        <f t="shared" si="2"/>
        <v>627000</v>
      </c>
      <c r="K41" s="30">
        <f t="shared" si="3"/>
        <v>0</v>
      </c>
    </row>
    <row r="42" spans="1:11" x14ac:dyDescent="0.2">
      <c r="A42" s="219" t="s">
        <v>104</v>
      </c>
      <c r="B42" s="224" t="s">
        <v>105</v>
      </c>
      <c r="C42" s="235">
        <v>1.96</v>
      </c>
      <c r="E42" s="236">
        <v>56100</v>
      </c>
      <c r="G42" s="237">
        <v>0</v>
      </c>
      <c r="H42" s="237">
        <v>56100</v>
      </c>
      <c r="I42" s="12"/>
      <c r="J42" s="11">
        <f t="shared" si="2"/>
        <v>0</v>
      </c>
      <c r="K42" s="11">
        <f t="shared" si="3"/>
        <v>3298680</v>
      </c>
    </row>
    <row r="43" spans="1:11" ht="15" x14ac:dyDescent="0.35">
      <c r="A43" s="219" t="s">
        <v>106</v>
      </c>
      <c r="B43" s="224" t="s">
        <v>107</v>
      </c>
      <c r="C43" s="235"/>
      <c r="E43" s="236">
        <v>0</v>
      </c>
      <c r="G43" s="238">
        <v>0</v>
      </c>
      <c r="H43" s="238">
        <v>0</v>
      </c>
      <c r="J43" s="13">
        <f t="shared" si="2"/>
        <v>0</v>
      </c>
      <c r="K43" s="13">
        <f t="shared" si="3"/>
        <v>0</v>
      </c>
    </row>
    <row r="44" spans="1:11" x14ac:dyDescent="0.2">
      <c r="G44" s="4">
        <f>SUM(G38:G43)</f>
        <v>35050</v>
      </c>
      <c r="H44" s="4">
        <f>SUM(H38:H43)</f>
        <v>71100</v>
      </c>
      <c r="J44" s="4">
        <f>SUM(J38:J43)</f>
        <v>2197635</v>
      </c>
      <c r="K44" s="4">
        <f>SUM(K38:K43)</f>
        <v>4239180</v>
      </c>
    </row>
    <row r="45" spans="1:11" ht="38.25" x14ac:dyDescent="0.2">
      <c r="A45" s="14"/>
      <c r="B45" s="14"/>
      <c r="C45" s="14"/>
      <c r="D45" s="14"/>
      <c r="E45" s="14"/>
      <c r="F45" s="14"/>
      <c r="G45" s="14"/>
      <c r="H45" s="14"/>
      <c r="I45" s="239" t="s">
        <v>108</v>
      </c>
      <c r="J45" s="15">
        <f>J44/(G44*28)</f>
        <v>2.2392857142857143</v>
      </c>
      <c r="K45" s="16">
        <f>K44/(H44*28)</f>
        <v>2.129385171790235</v>
      </c>
    </row>
    <row r="46" spans="1:11" ht="18.75" customHeight="1" x14ac:dyDescent="0.2">
      <c r="H46" s="17" t="s">
        <v>109</v>
      </c>
      <c r="I46"/>
      <c r="J46" s="34">
        <v>0.05</v>
      </c>
      <c r="K46" s="34">
        <v>0</v>
      </c>
    </row>
    <row r="47" spans="1:11" x14ac:dyDescent="0.2">
      <c r="H47" s="2" t="s">
        <v>110</v>
      </c>
      <c r="J47" s="36">
        <v>2.1999999999999999E-2</v>
      </c>
      <c r="K47" s="36">
        <v>2.1999999999999999E-2</v>
      </c>
    </row>
    <row r="48" spans="1:11" ht="15" x14ac:dyDescent="0.35">
      <c r="H48" s="2" t="s">
        <v>111</v>
      </c>
      <c r="J48" s="18">
        <v>1.34E-2</v>
      </c>
      <c r="K48" s="18">
        <v>1.34E-2</v>
      </c>
    </row>
    <row r="49" spans="1:11" x14ac:dyDescent="0.2">
      <c r="H49" s="1" t="s">
        <v>112</v>
      </c>
      <c r="J49" s="19">
        <v>2.09</v>
      </c>
      <c r="K49" s="19">
        <v>1.96</v>
      </c>
    </row>
    <row r="50" spans="1:11" x14ac:dyDescent="0.2">
      <c r="J50" s="19">
        <f>J46*(1+J47)/(1-J48)+J49</f>
        <v>2.1417940401378468</v>
      </c>
    </row>
    <row r="51" spans="1:11" x14ac:dyDescent="0.2">
      <c r="A51" s="1" t="s">
        <v>113</v>
      </c>
    </row>
    <row r="52" spans="1:11" x14ac:dyDescent="0.2">
      <c r="A52" s="20"/>
      <c r="G52" s="1"/>
      <c r="H52" s="1"/>
    </row>
    <row r="53" spans="1:11" x14ac:dyDescent="0.2">
      <c r="A53" s="2" t="s">
        <v>114</v>
      </c>
      <c r="C53" s="21" t="s">
        <v>108</v>
      </c>
      <c r="E53" s="240">
        <v>2.1</v>
      </c>
      <c r="G53" s="22"/>
      <c r="H53" s="23"/>
    </row>
    <row r="54" spans="1:11" x14ac:dyDescent="0.2">
      <c r="C54" s="2" t="s">
        <v>109</v>
      </c>
      <c r="D54"/>
      <c r="E54" s="24">
        <v>2.5000000000000001E-2</v>
      </c>
    </row>
    <row r="55" spans="1:11" x14ac:dyDescent="0.2">
      <c r="C55" s="1" t="s">
        <v>112</v>
      </c>
      <c r="E55" s="19">
        <f>E53*(1+E54)</f>
        <v>2.1524999999999999</v>
      </c>
    </row>
  </sheetData>
  <phoneticPr fontId="9" type="noConversion"/>
  <pageMargins left="0.75" right="0.75" top="1" bottom="1" header="0.5" footer="0.5"/>
  <pageSetup scale="59" orientation="landscape" r:id="rId1"/>
  <headerFooter alignWithMargins="0">
    <oddHeader>&amp;A</oddHeader>
    <oddFooter>Page &amp;P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2C6CB-8E98-4F63-90E9-AB2F6CEE507F}">
  <sheetPr codeName="sResults">
    <pageSetUpPr fitToPage="1"/>
  </sheetPr>
  <dimension ref="A1:I54"/>
  <sheetViews>
    <sheetView showGridLines="0" workbookViewId="0">
      <pane xSplit="1" ySplit="1" topLeftCell="B20" activePane="bottomRight" state="frozenSplit"/>
      <selection activeCell="G14" sqref="C14:G45"/>
      <selection pane="topRight" activeCell="G14" sqref="C14:G45"/>
      <selection pane="bottomLeft" activeCell="G14" sqref="C14:G45"/>
      <selection pane="bottomRight" activeCell="E12" sqref="E12"/>
    </sheetView>
  </sheetViews>
  <sheetFormatPr defaultRowHeight="12" x14ac:dyDescent="0.2"/>
  <cols>
    <col min="1" max="1" width="20.42578125" style="75" customWidth="1"/>
    <col min="2" max="2" width="15.140625" style="141" customWidth="1"/>
    <col min="3" max="3" width="10.42578125" style="141" customWidth="1"/>
    <col min="4" max="4" width="14" style="141" customWidth="1"/>
    <col min="5" max="5" width="8.28515625" style="75" customWidth="1"/>
    <col min="6" max="6" width="11.28515625" style="141" customWidth="1"/>
    <col min="7" max="7" width="7.85546875" style="141" customWidth="1"/>
    <col min="8" max="8" width="9.28515625" style="114" customWidth="1"/>
    <col min="9" max="9" width="7" style="114" customWidth="1"/>
    <col min="10" max="16384" width="9.140625" style="75"/>
  </cols>
  <sheetData>
    <row r="1" spans="1:9" s="110" customFormat="1" ht="39.75" customHeight="1" thickTop="1" x14ac:dyDescent="0.2">
      <c r="A1" s="105"/>
      <c r="B1" s="106" t="s">
        <v>19</v>
      </c>
      <c r="C1" s="106" t="s">
        <v>20</v>
      </c>
      <c r="D1" s="106" t="s">
        <v>18</v>
      </c>
      <c r="E1" s="107" t="s">
        <v>21</v>
      </c>
      <c r="F1" s="106" t="s">
        <v>22</v>
      </c>
      <c r="G1" s="108" t="s">
        <v>23</v>
      </c>
      <c r="H1" s="109"/>
      <c r="I1" s="109"/>
    </row>
    <row r="2" spans="1:9" x14ac:dyDescent="0.2">
      <c r="A2" s="76" t="s">
        <v>24</v>
      </c>
      <c r="B2" s="111"/>
      <c r="C2" s="111"/>
      <c r="D2" s="111"/>
      <c r="E2" s="112"/>
      <c r="F2" s="111"/>
      <c r="G2" s="113"/>
    </row>
    <row r="3" spans="1:9" x14ac:dyDescent="0.2">
      <c r="A3" s="78" t="s">
        <v>25</v>
      </c>
      <c r="B3" s="115">
        <f ca="1">(F3+0.7)*E3</f>
        <v>588480.29999999993</v>
      </c>
      <c r="C3" s="115">
        <f ca="1">6.8*0.75*E3</f>
        <v>144987.9</v>
      </c>
      <c r="D3" s="115">
        <f ca="1">C3+B3</f>
        <v>733468.2</v>
      </c>
      <c r="E3" s="116">
        <f ca="1">SUM(Preschedule!B59:Y59)</f>
        <v>28429</v>
      </c>
      <c r="F3" s="115">
        <v>20</v>
      </c>
      <c r="G3" s="117">
        <v>0</v>
      </c>
    </row>
    <row r="4" spans="1:9" x14ac:dyDescent="0.2">
      <c r="A4" s="79" t="s">
        <v>26</v>
      </c>
      <c r="B4" s="118"/>
      <c r="C4" s="118"/>
      <c r="D4" s="118"/>
      <c r="E4" s="112"/>
      <c r="F4" s="118"/>
      <c r="G4" s="77"/>
    </row>
    <row r="5" spans="1:9" x14ac:dyDescent="0.2">
      <c r="A5" s="80" t="s">
        <v>27</v>
      </c>
      <c r="B5" s="119">
        <f t="array" aca="1" ref="B5" ca="1">SUM(IF((DelPoint= "4C")*(DType = "pre")*(OFFSET(DelPoint,0,3,ROWS(DelPoint),24)&lt;0),DPrice*OFFSET(DelPoint,0,3,ROWS(DelPoint),24),0))</f>
        <v>0</v>
      </c>
      <c r="C5" s="119"/>
      <c r="D5" s="119">
        <f ca="1">C5+B5</f>
        <v>0</v>
      </c>
      <c r="E5" s="120">
        <f ca="1">SUM(Preschedule!B8:Y8)</f>
        <v>0</v>
      </c>
      <c r="F5" s="119">
        <f ca="1">IF(E5=0,0,B5/E5)</f>
        <v>0</v>
      </c>
      <c r="G5" s="121">
        <f ca="1">IF(E5=0,0,D5/E5)</f>
        <v>0</v>
      </c>
    </row>
    <row r="6" spans="1:9" x14ac:dyDescent="0.2">
      <c r="A6" s="80" t="s">
        <v>28</v>
      </c>
      <c r="B6" s="119">
        <f>Balancing!L29</f>
        <v>0</v>
      </c>
      <c r="C6" s="119"/>
      <c r="D6" s="119">
        <f>C6+B6</f>
        <v>0</v>
      </c>
      <c r="E6" s="120">
        <f ca="1">SUM(Preschedule!B9:Y9)</f>
        <v>0</v>
      </c>
      <c r="F6" s="119">
        <f t="shared" ref="F6:F13" ca="1" si="0">IF(E6=0,0,B6/E6)</f>
        <v>0</v>
      </c>
      <c r="G6" s="121">
        <f t="shared" ref="G6:G13" ca="1" si="1">IF(E6=0,0,D6/E6)</f>
        <v>0</v>
      </c>
    </row>
    <row r="7" spans="1:9" x14ac:dyDescent="0.2">
      <c r="A7" s="80" t="s">
        <v>29</v>
      </c>
      <c r="B7" s="119">
        <f t="array" aca="1" ref="B7" ca="1">SUM(IF((DelPoint= "4C")*IF((DType = "firm")+(DType = "econ")&gt;0,1,0)*(OFFSET(DelPoint,0,3,ROWS(DelPoint),24)&lt;0),DPrice*OFFSET(DelPoint,0,3,ROWS(DelPoint),24),0))</f>
        <v>0</v>
      </c>
      <c r="C7" s="119"/>
      <c r="D7" s="119">
        <f ca="1">C7+B7</f>
        <v>0</v>
      </c>
      <c r="E7" s="120">
        <f ca="1">SUM(Preschedule!B11:Y11)</f>
        <v>0</v>
      </c>
      <c r="F7" s="119">
        <f t="shared" ca="1" si="0"/>
        <v>0</v>
      </c>
      <c r="G7" s="121">
        <f t="shared" ca="1" si="1"/>
        <v>0</v>
      </c>
    </row>
    <row r="8" spans="1:9" x14ac:dyDescent="0.2">
      <c r="A8" s="82" t="s">
        <v>30</v>
      </c>
      <c r="B8" s="122" t="e">
        <f t="array" aca="1" ref="B8" ca="1">SUM(IF((DelPoint= "PV")*(DType = "pre")*(OFFSET(DelPoint,0,3,ROWS(DelPoint),24)&lt;0),DPrice*OFFSET(DelPoint,0,3,ROWS(DelPoint),24),0))</f>
        <v>#N/A</v>
      </c>
      <c r="C8" s="122"/>
      <c r="D8" s="122" t="e">
        <f t="shared" ref="D8:D13" ca="1" si="2">C8+B8</f>
        <v>#N/A</v>
      </c>
      <c r="E8" s="123">
        <f>SUM(Preschedule!B12:Y12)</f>
        <v>-2400</v>
      </c>
      <c r="F8" s="122" t="e">
        <f t="shared" ca="1" si="0"/>
        <v>#N/A</v>
      </c>
      <c r="G8" s="124" t="e">
        <f t="shared" ca="1" si="1"/>
        <v>#N/A</v>
      </c>
    </row>
    <row r="9" spans="1:9" x14ac:dyDescent="0.2">
      <c r="A9" s="82" t="s">
        <v>31</v>
      </c>
      <c r="B9" s="122">
        <f>Balancing!D29</f>
        <v>0</v>
      </c>
      <c r="C9" s="122"/>
      <c r="D9" s="122">
        <f t="shared" si="2"/>
        <v>0</v>
      </c>
      <c r="E9" s="123">
        <f>SUM(Preschedule!B13:Y13)</f>
        <v>0</v>
      </c>
      <c r="F9" s="122">
        <f t="shared" si="0"/>
        <v>0</v>
      </c>
      <c r="G9" s="124">
        <f t="shared" si="1"/>
        <v>0</v>
      </c>
    </row>
    <row r="10" spans="1:9" x14ac:dyDescent="0.2">
      <c r="A10" s="82" t="s">
        <v>32</v>
      </c>
      <c r="B10" s="122" t="e">
        <f t="array" aca="1" ref="B10" ca="1">SUM(IF((DelPoint= "PV")*IF((DType = "firm")+(DType = "econ")&gt;0,1,0)*(OFFSET(DelPoint,0,3,ROWS(DelPoint),24)&lt;0),DPrice*OFFSET(DelPoint,0,3,ROWS(DelPoint),24),0))</f>
        <v>#N/A</v>
      </c>
      <c r="C10" s="122"/>
      <c r="D10" s="122" t="e">
        <f t="shared" ca="1" si="2"/>
        <v>#N/A</v>
      </c>
      <c r="E10" s="123">
        <f ca="1">SUM(Preschedule!B15:Y15)</f>
        <v>-8</v>
      </c>
      <c r="F10" s="122" t="e">
        <f t="shared" ca="1" si="0"/>
        <v>#N/A</v>
      </c>
      <c r="G10" s="124" t="e">
        <f t="shared" ca="1" si="1"/>
        <v>#N/A</v>
      </c>
    </row>
    <row r="11" spans="1:9" x14ac:dyDescent="0.2">
      <c r="A11" s="81" t="s">
        <v>33</v>
      </c>
      <c r="B11" s="118">
        <f t="array" aca="1" ref="B11" ca="1">SUM(IF((DelPoint= "SPS")*(DType = "pre")*(OFFSET(DelPoint,0,3,ROWS(DelPoint),24)&lt;0),DPrice*OFFSET(DelPoint,0,3,ROWS(DelPoint),24),0))</f>
        <v>0</v>
      </c>
      <c r="C11" s="118"/>
      <c r="D11" s="118">
        <f t="shared" ca="1" si="2"/>
        <v>0</v>
      </c>
      <c r="E11" s="112">
        <f>SUM(Preschedule!B19:Y19)</f>
        <v>0</v>
      </c>
      <c r="F11" s="118">
        <f t="shared" si="0"/>
        <v>0</v>
      </c>
      <c r="G11" s="77">
        <f t="shared" si="1"/>
        <v>0</v>
      </c>
    </row>
    <row r="12" spans="1:9" x14ac:dyDescent="0.2">
      <c r="A12" s="81" t="s">
        <v>257</v>
      </c>
      <c r="B12" s="118">
        <f>Balancing!H29</f>
        <v>0</v>
      </c>
      <c r="C12" s="118"/>
      <c r="D12" s="118">
        <f t="shared" si="2"/>
        <v>0</v>
      </c>
      <c r="E12" s="112" t="e">
        <f>SUM(Preschedule!#REF!)</f>
        <v>#REF!</v>
      </c>
      <c r="F12" s="118" t="e">
        <f t="shared" si="0"/>
        <v>#REF!</v>
      </c>
      <c r="G12" s="77" t="e">
        <f t="shared" si="1"/>
        <v>#REF!</v>
      </c>
    </row>
    <row r="13" spans="1:9" x14ac:dyDescent="0.2">
      <c r="A13" s="81" t="s">
        <v>262</v>
      </c>
      <c r="B13" s="118">
        <f t="array" aca="1" ref="B13" ca="1">SUM(IF((DelPoint= "SPS")*IF((DType = "firm")+(DType = "econ")&gt;0,1,0)*(OFFSET(DelPoint,0,3,ROWS(DelPoint),24)&lt;0),DPrice*OFFSET(DelPoint,0,3,ROWS(DelPoint),24),0))</f>
        <v>0</v>
      </c>
      <c r="C13" s="118"/>
      <c r="D13" s="118">
        <f t="shared" ca="1" si="2"/>
        <v>0</v>
      </c>
      <c r="E13" s="112">
        <f ca="1">SUM(Preschedule!B20:Y20)</f>
        <v>0</v>
      </c>
      <c r="F13" s="118">
        <f t="shared" ca="1" si="0"/>
        <v>0</v>
      </c>
      <c r="G13" s="77">
        <f t="shared" ca="1" si="1"/>
        <v>0</v>
      </c>
    </row>
    <row r="14" spans="1:9" x14ac:dyDescent="0.2">
      <c r="A14" s="143"/>
      <c r="B14" s="125"/>
      <c r="C14" s="125"/>
      <c r="D14" s="125"/>
      <c r="E14" s="126"/>
      <c r="F14" s="125"/>
      <c r="G14" s="127"/>
    </row>
    <row r="15" spans="1:9" x14ac:dyDescent="0.2">
      <c r="A15" s="81" t="s">
        <v>34</v>
      </c>
      <c r="B15" s="118"/>
      <c r="C15" s="118"/>
      <c r="D15" s="118"/>
      <c r="E15" s="112"/>
      <c r="F15" s="118"/>
      <c r="G15" s="77"/>
    </row>
    <row r="16" spans="1:9" x14ac:dyDescent="0.2">
      <c r="A16" s="79" t="s">
        <v>35</v>
      </c>
      <c r="B16" s="118"/>
      <c r="C16" s="118"/>
      <c r="D16" s="118"/>
      <c r="E16" s="112"/>
      <c r="F16" s="118"/>
      <c r="G16" s="77"/>
    </row>
    <row r="17" spans="1:9" x14ac:dyDescent="0.2">
      <c r="A17" s="80" t="s">
        <v>27</v>
      </c>
      <c r="B17" s="119">
        <f t="array" aca="1" ref="B17" ca="1">SUM(IF((DelPoint= "4C")*(DType = "pre")*(OFFSET(DelPoint,0,3,ROWS(DelPoint),24)&gt;0),DPrice*OFFSET(DelPoint,0,3,ROWS(DelPoint),24),0))</f>
        <v>0</v>
      </c>
      <c r="C17" s="119"/>
      <c r="D17" s="119">
        <f ca="1">C17+B17</f>
        <v>0</v>
      </c>
      <c r="E17" s="120">
        <f>SUM(Preschedule!B25:Y25)</f>
        <v>0</v>
      </c>
      <c r="F17" s="119">
        <f>IF(E17=0,0,B17/E17)</f>
        <v>0</v>
      </c>
      <c r="G17" s="121">
        <f>IF(E17=0,0,D17/E17)</f>
        <v>0</v>
      </c>
    </row>
    <row r="18" spans="1:9" x14ac:dyDescent="0.2">
      <c r="A18" s="80" t="s">
        <v>28</v>
      </c>
      <c r="B18" s="119">
        <f>Balancing!L30</f>
        <v>0</v>
      </c>
      <c r="C18" s="119"/>
      <c r="D18" s="119">
        <f>C18+B18</f>
        <v>0</v>
      </c>
      <c r="E18" s="120">
        <f ca="1">SUM(Preschedule!B26:Y26)</f>
        <v>0</v>
      </c>
      <c r="F18" s="119">
        <f t="shared" ref="F18:F25" ca="1" si="3">IF(E18=0,0,B18/E18)</f>
        <v>0</v>
      </c>
      <c r="G18" s="121">
        <f t="shared" ref="G18:G25" ca="1" si="4">IF(E18=0,0,D18/E18)</f>
        <v>0</v>
      </c>
    </row>
    <row r="19" spans="1:9" x14ac:dyDescent="0.2">
      <c r="A19" s="80" t="s">
        <v>29</v>
      </c>
      <c r="B19" s="119" t="e">
        <f t="array" aca="1" ref="B19" ca="1">SUM(IF((DelPoint= "4C")*IF((DType = "firm")+(DType = "econ")&gt;0,1,0)*(OFFSET(DelPoint,0,3,ROWS(DelPoint),24)&gt;0),DPrice*OFFSET(DelPoint,0,3,ROWS(DelPoint),24),0))</f>
        <v>#N/A</v>
      </c>
      <c r="C19" s="119"/>
      <c r="D19" s="119" t="e">
        <f ca="1">C19+B19</f>
        <v>#N/A</v>
      </c>
      <c r="E19" s="120">
        <f ca="1">SUM(Preschedule!B28:Y28)</f>
        <v>1185</v>
      </c>
      <c r="F19" s="119" t="e">
        <f t="shared" ca="1" si="3"/>
        <v>#N/A</v>
      </c>
      <c r="G19" s="121" t="e">
        <f t="shared" ca="1" si="4"/>
        <v>#N/A</v>
      </c>
    </row>
    <row r="20" spans="1:9" x14ac:dyDescent="0.2">
      <c r="A20" s="82" t="s">
        <v>30</v>
      </c>
      <c r="B20" s="122" t="e">
        <f t="array" aca="1" ref="B20" ca="1">SUM(IF((DelPoint= "PV")*(DType = "pre")*(OFFSET(DelPoint,0,3,ROWS(DelPoint),24)&gt;0),DPrice*OFFSET(DelPoint,0,3,ROWS(DelPoint),24),0))</f>
        <v>#N/A</v>
      </c>
      <c r="C20" s="122"/>
      <c r="D20" s="122" t="e">
        <f t="shared" ref="D20:D25" ca="1" si="5">C20+B20</f>
        <v>#N/A</v>
      </c>
      <c r="E20" s="123">
        <f ca="1">SUM(Preschedule!B29:Y29)</f>
        <v>880</v>
      </c>
      <c r="F20" s="122" t="e">
        <f t="shared" ca="1" si="3"/>
        <v>#N/A</v>
      </c>
      <c r="G20" s="124" t="e">
        <f t="shared" ca="1" si="4"/>
        <v>#N/A</v>
      </c>
    </row>
    <row r="21" spans="1:9" x14ac:dyDescent="0.2">
      <c r="A21" s="82" t="s">
        <v>31</v>
      </c>
      <c r="B21" s="122">
        <f>Balancing!D30</f>
        <v>0</v>
      </c>
      <c r="C21" s="122"/>
      <c r="D21" s="122">
        <f t="shared" si="5"/>
        <v>0</v>
      </c>
      <c r="E21" s="123">
        <f ca="1">SUM(Preschedule!B30:Y30)</f>
        <v>0</v>
      </c>
      <c r="F21" s="122">
        <f t="shared" ca="1" si="3"/>
        <v>0</v>
      </c>
      <c r="G21" s="124">
        <f t="shared" ca="1" si="4"/>
        <v>0</v>
      </c>
    </row>
    <row r="22" spans="1:9" x14ac:dyDescent="0.2">
      <c r="A22" s="82" t="s">
        <v>32</v>
      </c>
      <c r="B22" s="122" t="e">
        <f t="array" aca="1" ref="B22" ca="1">SUM(IF((DelPoint= "PV")*IF((DType = "firm")+(DType = "econ")&gt;0,1,0)*(OFFSET(DelPoint,0,3,ROWS(DelPoint),24)&gt;0),DPrice*OFFSET(DelPoint,0,3,ROWS(DelPoint),24),0))</f>
        <v>#N/A</v>
      </c>
      <c r="C22" s="122"/>
      <c r="D22" s="122" t="e">
        <f t="shared" ca="1" si="5"/>
        <v>#N/A</v>
      </c>
      <c r="E22" s="123">
        <f ca="1">SUM(Preschedule!B32:Y32)</f>
        <v>1303</v>
      </c>
      <c r="F22" s="122" t="e">
        <f t="shared" ca="1" si="3"/>
        <v>#N/A</v>
      </c>
      <c r="G22" s="124" t="e">
        <f t="shared" ca="1" si="4"/>
        <v>#N/A</v>
      </c>
    </row>
    <row r="23" spans="1:9" x14ac:dyDescent="0.2">
      <c r="A23" s="81" t="s">
        <v>264</v>
      </c>
      <c r="B23" s="118">
        <f t="array" aca="1" ref="B23" ca="1">SUM(IF((DelPoint= "artesia")*(DType = "pre")*(OFFSET(DelPoint,0,3,ROWS(DelPoint),24)&gt;0),DPrice*OFFSET(DelPoint,0,3,ROWS(DelPoint),24),0))</f>
        <v>0</v>
      </c>
      <c r="C23" s="118"/>
      <c r="D23" s="118">
        <f t="shared" ca="1" si="5"/>
        <v>0</v>
      </c>
      <c r="E23" s="112">
        <f ca="1">SUM(Preschedule!B35:Y35)</f>
        <v>0</v>
      </c>
      <c r="F23" s="118">
        <f t="shared" ca="1" si="3"/>
        <v>0</v>
      </c>
      <c r="G23" s="77">
        <f t="shared" ca="1" si="4"/>
        <v>0</v>
      </c>
    </row>
    <row r="24" spans="1:9" x14ac:dyDescent="0.2">
      <c r="A24" s="81" t="s">
        <v>257</v>
      </c>
      <c r="B24" s="118">
        <f>Balancing!H30</f>
        <v>0</v>
      </c>
      <c r="C24" s="118"/>
      <c r="D24" s="118">
        <f t="shared" si="5"/>
        <v>0</v>
      </c>
      <c r="E24" s="112">
        <f ca="1">SUM(Preschedule!B36:Y36)</f>
        <v>0</v>
      </c>
      <c r="F24" s="118">
        <f t="shared" ca="1" si="3"/>
        <v>0</v>
      </c>
      <c r="G24" s="77">
        <f t="shared" ca="1" si="4"/>
        <v>0</v>
      </c>
    </row>
    <row r="25" spans="1:9" ht="12.75" thickBot="1" x14ac:dyDescent="0.25">
      <c r="A25" s="81" t="s">
        <v>262</v>
      </c>
      <c r="B25" s="118">
        <f t="array" aca="1" ref="B25" ca="1">SUM(IF((DelPoint= "artesia")*IF((DType = "firm")+(DType = "econ")&gt;0,1,0)*(OFFSET(DelPoint,0,3,ROWS(DelPoint),24)&gt;0),DPrice*OFFSET(DelPoint,0,3,ROWS(DelPoint),24),0))</f>
        <v>0</v>
      </c>
      <c r="C25" s="118"/>
      <c r="D25" s="118">
        <f t="shared" ca="1" si="5"/>
        <v>0</v>
      </c>
      <c r="E25" s="112">
        <f ca="1">SUM(Preschedule!B37:Y37)</f>
        <v>0</v>
      </c>
      <c r="F25" s="118">
        <f t="shared" ca="1" si="3"/>
        <v>0</v>
      </c>
      <c r="G25" s="77">
        <f t="shared" ca="1" si="4"/>
        <v>0</v>
      </c>
    </row>
    <row r="26" spans="1:9" ht="12.75" thickTop="1" x14ac:dyDescent="0.2">
      <c r="A26" s="143"/>
      <c r="B26" s="125"/>
      <c r="C26" s="125"/>
      <c r="D26" s="125"/>
      <c r="E26" s="126"/>
      <c r="F26" s="125"/>
      <c r="G26" s="127"/>
      <c r="H26" s="128" t="s">
        <v>36</v>
      </c>
      <c r="I26" s="129" t="s">
        <v>37</v>
      </c>
    </row>
    <row r="27" spans="1:9" x14ac:dyDescent="0.2">
      <c r="A27" s="81" t="s">
        <v>38</v>
      </c>
      <c r="B27" s="118"/>
      <c r="C27" s="118"/>
      <c r="D27" s="118"/>
      <c r="E27" s="112"/>
      <c r="F27" s="118"/>
      <c r="G27" s="77"/>
      <c r="H27" s="130" t="s">
        <v>39</v>
      </c>
      <c r="I27" s="131" t="s">
        <v>40</v>
      </c>
    </row>
    <row r="28" spans="1:9" x14ac:dyDescent="0.2">
      <c r="A28" s="81" t="s">
        <v>41</v>
      </c>
      <c r="B28" s="118">
        <f>-F28*E28</f>
        <v>-30542.919680000006</v>
      </c>
      <c r="C28" s="118"/>
      <c r="D28" s="118">
        <f>C28+B28</f>
        <v>-30542.919680000006</v>
      </c>
      <c r="E28" s="112">
        <f>SUM(Preschedule!B56:Y56)</f>
        <v>2336</v>
      </c>
      <c r="F28" s="118">
        <f>H28*I28</f>
        <v>13.074880000000002</v>
      </c>
      <c r="G28" s="77">
        <f>-IF(E28=0,0,D28/E28)</f>
        <v>13.074880000000002</v>
      </c>
      <c r="H28" s="132">
        <v>10.057600000000001</v>
      </c>
      <c r="I28" s="133">
        <v>1.3</v>
      </c>
    </row>
    <row r="29" spans="1:9" x14ac:dyDescent="0.2">
      <c r="A29" s="81" t="s">
        <v>42</v>
      </c>
      <c r="B29" s="118">
        <f>-F29*E29</f>
        <v>0</v>
      </c>
      <c r="C29" s="118"/>
      <c r="D29" s="118">
        <f>C29+B29</f>
        <v>0</v>
      </c>
      <c r="E29" s="112">
        <f>SUM(Preschedule!B57:Y57)</f>
        <v>0</v>
      </c>
      <c r="F29" s="118">
        <f>H29*I29</f>
        <v>13.074880000000002</v>
      </c>
      <c r="G29" s="77">
        <f>-IF(E29=0,0,D29/E29)</f>
        <v>0</v>
      </c>
      <c r="H29" s="132">
        <v>10.057600000000001</v>
      </c>
      <c r="I29" s="133">
        <v>1.3</v>
      </c>
    </row>
    <row r="30" spans="1:9" x14ac:dyDescent="0.2">
      <c r="A30" s="81" t="s">
        <v>43</v>
      </c>
      <c r="B30" s="118">
        <f>-F30*E30</f>
        <v>-20708.112000000001</v>
      </c>
      <c r="C30" s="118"/>
      <c r="D30" s="118">
        <f>C30+B30</f>
        <v>-20708.112000000001</v>
      </c>
      <c r="E30" s="112">
        <f>SUM(Preschedule!B53:Y53)</f>
        <v>3397</v>
      </c>
      <c r="F30" s="118">
        <f>H30*I30</f>
        <v>6.0960000000000001</v>
      </c>
      <c r="G30" s="77">
        <f>-IF(E30=0,0,D30/E30)</f>
        <v>6.0960000000000001</v>
      </c>
      <c r="H30" s="132">
        <v>10.16</v>
      </c>
      <c r="I30" s="133">
        <v>0.6</v>
      </c>
    </row>
    <row r="31" spans="1:9" x14ac:dyDescent="0.2">
      <c r="A31" s="81" t="s">
        <v>44</v>
      </c>
      <c r="B31" s="118">
        <f>-F31*E31</f>
        <v>-20708.112000000001</v>
      </c>
      <c r="C31" s="118"/>
      <c r="D31" s="118">
        <f>C31+B31</f>
        <v>-20708.112000000001</v>
      </c>
      <c r="E31" s="112">
        <f>SUM(Preschedule!B54:Y54)</f>
        <v>3397</v>
      </c>
      <c r="F31" s="118">
        <f>H31*I31</f>
        <v>6.0960000000000001</v>
      </c>
      <c r="G31" s="77">
        <f>-IF(E31=0,0,D31/E31)</f>
        <v>6.0960000000000001</v>
      </c>
      <c r="H31" s="132">
        <v>10.16</v>
      </c>
      <c r="I31" s="133">
        <v>0.6</v>
      </c>
    </row>
    <row r="32" spans="1:9" x14ac:dyDescent="0.2">
      <c r="A32" s="81" t="s">
        <v>45</v>
      </c>
      <c r="B32" s="118">
        <f>-F32*E32</f>
        <v>-20695.920000000002</v>
      </c>
      <c r="C32" s="118"/>
      <c r="D32" s="118">
        <f>C32+B32</f>
        <v>-20695.920000000002</v>
      </c>
      <c r="E32" s="112">
        <f>SUM(Preschedule!B55:Y55)</f>
        <v>3395</v>
      </c>
      <c r="F32" s="118">
        <f>H32*I32</f>
        <v>6.0960000000000001</v>
      </c>
      <c r="G32" s="77">
        <f>-IF(E32=0,0,D32/E32)</f>
        <v>6.096000000000001</v>
      </c>
      <c r="H32" s="132">
        <v>10.16</v>
      </c>
      <c r="I32" s="133">
        <v>0.6</v>
      </c>
    </row>
    <row r="33" spans="1:9" x14ac:dyDescent="0.2">
      <c r="A33" s="81"/>
      <c r="B33" s="118"/>
      <c r="C33" s="118"/>
      <c r="D33" s="118"/>
      <c r="E33" s="112"/>
      <c r="F33" s="118"/>
      <c r="G33" s="77"/>
      <c r="H33" s="134"/>
      <c r="I33" s="133"/>
    </row>
    <row r="34" spans="1:9" x14ac:dyDescent="0.2">
      <c r="A34" s="81" t="s">
        <v>46</v>
      </c>
      <c r="B34" s="118" t="e">
        <f ca="1">Gencost(Preschedule!B41:Y41,OFFSET(HeatRateStart,1,MATCH(A34,HeatRateNames,0)-1,250,1),I34)</f>
        <v>#NAME?</v>
      </c>
      <c r="C34" s="118"/>
      <c r="D34" s="118" t="e">
        <f ca="1">IF(ISTEXT(B34),0,C34+B34)</f>
        <v>#NAME?</v>
      </c>
      <c r="E34" s="112">
        <f>SUM(Preschedule!B41:Y41)</f>
        <v>951</v>
      </c>
      <c r="F34" s="118" t="e">
        <f ca="1">-IF(OR(ISTEXT(B34),E34=0),0,B34/E34)</f>
        <v>#NAME?</v>
      </c>
      <c r="G34" s="77" t="e">
        <f t="shared" ref="G34:G45" ca="1" si="6">-IF(E34=0,0,D34/E34)</f>
        <v>#NAME?</v>
      </c>
      <c r="H34" s="134"/>
      <c r="I34" s="133">
        <f>INDEX(FuelPriceTable,MATCH(A34,FuelNames,0),5)</f>
        <v>1.96</v>
      </c>
    </row>
    <row r="35" spans="1:9" x14ac:dyDescent="0.2">
      <c r="A35" s="81" t="s">
        <v>47</v>
      </c>
      <c r="B35" s="118" t="e">
        <f ca="1">Gencost(Preschedule!B42:Y42,OFFSET(HeatRateStart,1,MATCH(A35,HeatRateNames,0)-1,250,1),I35)</f>
        <v>#NAME?</v>
      </c>
      <c r="C35" s="118"/>
      <c r="D35" s="118" t="e">
        <f t="shared" ref="D35:D45" ca="1" si="7">IF(ISTEXT(B35),0,C35+B35)</f>
        <v>#NAME?</v>
      </c>
      <c r="E35" s="112">
        <f>SUM(Preschedule!B42:Y42)</f>
        <v>1403</v>
      </c>
      <c r="F35" s="118" t="e">
        <f t="shared" ref="F35:F45" ca="1" si="8">-IF(OR(ISTEXT(B35),E35=0),0,B35/E35)</f>
        <v>#NAME?</v>
      </c>
      <c r="G35" s="77" t="e">
        <f t="shared" ca="1" si="6"/>
        <v>#NAME?</v>
      </c>
      <c r="H35" s="134"/>
      <c r="I35" s="133">
        <f t="shared" ref="I35:I45" si="9">INDEX(FuelPriceTable,MATCH(A35,FuelNames,0),5)</f>
        <v>1.96</v>
      </c>
    </row>
    <row r="36" spans="1:9" x14ac:dyDescent="0.2">
      <c r="A36" s="81" t="s">
        <v>48</v>
      </c>
      <c r="B36" s="118" t="e">
        <f ca="1">Gencost(Preschedule!B43:Y43,OFFSET(HeatRateStart,1,MATCH(A36,HeatRateNames,0)-1,250,1),I36)</f>
        <v>#NAME?</v>
      </c>
      <c r="C36" s="118"/>
      <c r="D36" s="118" t="e">
        <f t="shared" ca="1" si="7"/>
        <v>#NAME?</v>
      </c>
      <c r="E36" s="112">
        <f>SUM(Preschedule!B43:Y43)</f>
        <v>1703</v>
      </c>
      <c r="F36" s="118" t="e">
        <f t="shared" ca="1" si="8"/>
        <v>#NAME?</v>
      </c>
      <c r="G36" s="77" t="e">
        <f t="shared" ca="1" si="6"/>
        <v>#NAME?</v>
      </c>
      <c r="H36" s="134"/>
      <c r="I36" s="133">
        <f>INDEX(FuelPriceTable,MATCH(A36,FuelNames,0),5)</f>
        <v>1.96</v>
      </c>
    </row>
    <row r="37" spans="1:9" x14ac:dyDescent="0.2">
      <c r="A37" s="81" t="s">
        <v>49</v>
      </c>
      <c r="B37" s="118" t="e">
        <f ca="1">Gencost(Preschedule!B44:Y44,OFFSET(HeatRateStart,1,MATCH(A37,HeatRateNames,0)-1,250,1),I37)</f>
        <v>#NAME?</v>
      </c>
      <c r="C37" s="118"/>
      <c r="D37" s="118" t="e">
        <f t="shared" ca="1" si="7"/>
        <v>#NAME?</v>
      </c>
      <c r="E37" s="112">
        <f>SUM(Preschedule!B44:Y44)</f>
        <v>99</v>
      </c>
      <c r="F37" s="118" t="e">
        <f t="shared" ca="1" si="8"/>
        <v>#NAME?</v>
      </c>
      <c r="G37" s="77" t="e">
        <f t="shared" ca="1" si="6"/>
        <v>#NAME?</v>
      </c>
      <c r="H37" s="134"/>
      <c r="I37" s="133">
        <f t="shared" si="9"/>
        <v>1.96</v>
      </c>
    </row>
    <row r="38" spans="1:9" x14ac:dyDescent="0.2">
      <c r="A38" s="81" t="s">
        <v>50</v>
      </c>
      <c r="B38" s="118" t="e">
        <f ca="1">Gencost(Preschedule!B45:Y45,OFFSET(HeatRateStart,1,MATCH(A38,HeatRateNames,0)-1,250,1),I38)</f>
        <v>#NAME?</v>
      </c>
      <c r="C38" s="118"/>
      <c r="D38" s="118" t="e">
        <f t="shared" ca="1" si="7"/>
        <v>#NAME?</v>
      </c>
      <c r="E38" s="112">
        <f>SUM(Preschedule!B45:Y45)</f>
        <v>101</v>
      </c>
      <c r="F38" s="118" t="e">
        <f t="shared" ca="1" si="8"/>
        <v>#NAME?</v>
      </c>
      <c r="G38" s="77" t="e">
        <f t="shared" ca="1" si="6"/>
        <v>#NAME?</v>
      </c>
      <c r="H38" s="134"/>
      <c r="I38" s="133">
        <f t="shared" si="9"/>
        <v>1.96</v>
      </c>
    </row>
    <row r="39" spans="1:9" x14ac:dyDescent="0.2">
      <c r="A39" s="81" t="s">
        <v>51</v>
      </c>
      <c r="B39" s="118" t="e">
        <f ca="1">Gencost(Preschedule!B46:Y46,OFFSET(HeatRateStart,1,MATCH(A39,HeatRateNames,0)-1,250,1),I39)</f>
        <v>#NAME?</v>
      </c>
      <c r="C39" s="118"/>
      <c r="D39" s="118" t="e">
        <f t="shared" ca="1" si="7"/>
        <v>#NAME?</v>
      </c>
      <c r="E39" s="112">
        <f>SUM(Preschedule!B46:Y46)</f>
        <v>0</v>
      </c>
      <c r="F39" s="118">
        <f t="shared" ca="1" si="8"/>
        <v>0</v>
      </c>
      <c r="G39" s="77">
        <f t="shared" si="6"/>
        <v>0</v>
      </c>
      <c r="H39" s="134"/>
      <c r="I39" s="133">
        <f t="shared" si="9"/>
        <v>1.96</v>
      </c>
    </row>
    <row r="40" spans="1:9" x14ac:dyDescent="0.2">
      <c r="A40" s="81" t="s">
        <v>52</v>
      </c>
      <c r="B40" s="118" t="e">
        <f ca="1">Gencost(Preschedule!B47:Y47,OFFSET(HeatRateStart,1,MATCH(A40,HeatRateNames,0)-1,250,1),I40)</f>
        <v>#NAME?</v>
      </c>
      <c r="C40" s="118"/>
      <c r="D40" s="118" t="e">
        <f t="shared" ca="1" si="7"/>
        <v>#NAME?</v>
      </c>
      <c r="E40" s="112">
        <f>SUM(Preschedule!B47:Y47)</f>
        <v>0</v>
      </c>
      <c r="F40" s="118">
        <f t="shared" ca="1" si="8"/>
        <v>0</v>
      </c>
      <c r="G40" s="77">
        <f t="shared" si="6"/>
        <v>0</v>
      </c>
      <c r="H40" s="134"/>
      <c r="I40" s="133">
        <f t="shared" si="9"/>
        <v>1.96</v>
      </c>
    </row>
    <row r="41" spans="1:9" x14ac:dyDescent="0.2">
      <c r="A41" s="81" t="s">
        <v>53</v>
      </c>
      <c r="B41" s="118" t="e">
        <f ca="1">Gencost(Preschedule!B48:Y48,OFFSET(HeatRateStart,1,MATCH(A41,HeatRateNames,0)-1,250,1),I41)</f>
        <v>#NAME?</v>
      </c>
      <c r="C41" s="118"/>
      <c r="D41" s="118" t="e">
        <f t="shared" ca="1" si="7"/>
        <v>#NAME?</v>
      </c>
      <c r="E41" s="112">
        <f>SUM(Preschedule!B48:Y48)</f>
        <v>2995</v>
      </c>
      <c r="F41" s="118" t="e">
        <f t="shared" ca="1" si="8"/>
        <v>#NAME?</v>
      </c>
      <c r="G41" s="77" t="e">
        <f t="shared" ca="1" si="6"/>
        <v>#NAME?</v>
      </c>
      <c r="H41" s="134"/>
      <c r="I41" s="133">
        <v>1.96</v>
      </c>
    </row>
    <row r="42" spans="1:9" x14ac:dyDescent="0.2">
      <c r="A42" s="81" t="s">
        <v>54</v>
      </c>
      <c r="B42" s="118" t="e">
        <f ca="1">Gencost(Preschedule!B49:Y49,OFFSET(HeatRateStart,1,MATCH(A42,HeatRateNames,0)-1,250,1),I42)</f>
        <v>#NAME?</v>
      </c>
      <c r="C42" s="118"/>
      <c r="D42" s="118" t="e">
        <f t="shared" ca="1" si="7"/>
        <v>#NAME?</v>
      </c>
      <c r="E42" s="112">
        <f>SUM(Preschedule!B49:Y49)</f>
        <v>588</v>
      </c>
      <c r="F42" s="118" t="e">
        <f t="shared" ca="1" si="8"/>
        <v>#NAME?</v>
      </c>
      <c r="G42" s="77" t="e">
        <f t="shared" ca="1" si="6"/>
        <v>#NAME?</v>
      </c>
      <c r="H42" s="134"/>
      <c r="I42" s="133">
        <f t="shared" si="9"/>
        <v>1.96</v>
      </c>
    </row>
    <row r="43" spans="1:9" x14ac:dyDescent="0.2">
      <c r="A43" s="81" t="s">
        <v>55</v>
      </c>
      <c r="B43" s="118" t="e">
        <f ca="1">Gencost(Preschedule!B50:Y50,OFFSET(HeatRateStart,1,MATCH(A43,HeatRateNames,0)-1,250,1),I43)</f>
        <v>#NAME?</v>
      </c>
      <c r="C43" s="118"/>
      <c r="D43" s="118" t="e">
        <f t="shared" ca="1" si="7"/>
        <v>#NAME?</v>
      </c>
      <c r="E43" s="112">
        <f>SUM(Preschedule!B50:Y50)</f>
        <v>911</v>
      </c>
      <c r="F43" s="118" t="e">
        <f t="shared" ca="1" si="8"/>
        <v>#NAME?</v>
      </c>
      <c r="G43" s="77" t="e">
        <f t="shared" ca="1" si="6"/>
        <v>#NAME?</v>
      </c>
      <c r="H43" s="134"/>
      <c r="I43" s="133">
        <f t="shared" si="9"/>
        <v>2.09</v>
      </c>
    </row>
    <row r="44" spans="1:9" x14ac:dyDescent="0.2">
      <c r="A44" s="81" t="s">
        <v>56</v>
      </c>
      <c r="B44" s="118" t="e">
        <f ca="1">Gencost(Preschedule!B51:Y51,OFFSET(HeatRateStart,1,MATCH(A44,HeatRateNames,0)-1,250,1),I44)</f>
        <v>#NAME?</v>
      </c>
      <c r="C44" s="118"/>
      <c r="D44" s="118" t="e">
        <f t="shared" ca="1" si="7"/>
        <v>#NAME?</v>
      </c>
      <c r="E44" s="112">
        <f>SUM(Preschedule!B51:Y51)</f>
        <v>833</v>
      </c>
      <c r="F44" s="118" t="e">
        <f t="shared" ca="1" si="8"/>
        <v>#NAME?</v>
      </c>
      <c r="G44" s="77" t="e">
        <f t="shared" ca="1" si="6"/>
        <v>#NAME?</v>
      </c>
      <c r="H44" s="134"/>
      <c r="I44" s="133">
        <f t="shared" si="9"/>
        <v>2.09</v>
      </c>
    </row>
    <row r="45" spans="1:9" ht="12.75" thickBot="1" x14ac:dyDescent="0.25">
      <c r="A45" s="81" t="s">
        <v>57</v>
      </c>
      <c r="B45" s="118" t="e">
        <f ca="1">Gencost(Preschedule!B52:Y52,OFFSET(HeatRateStart,1,MATCH(A45,HeatRateNames,0)-1,250,1),I45)</f>
        <v>#NAME?</v>
      </c>
      <c r="C45" s="118"/>
      <c r="D45" s="118" t="e">
        <f t="shared" ca="1" si="7"/>
        <v>#NAME?</v>
      </c>
      <c r="E45" s="112">
        <f>SUM(Preschedule!B52:Y52)</f>
        <v>0</v>
      </c>
      <c r="F45" s="118">
        <f t="shared" ca="1" si="8"/>
        <v>0</v>
      </c>
      <c r="G45" s="77">
        <f t="shared" si="6"/>
        <v>0</v>
      </c>
      <c r="H45" s="135"/>
      <c r="I45" s="136">
        <f t="shared" si="9"/>
        <v>2.09</v>
      </c>
    </row>
    <row r="46" spans="1:9" ht="7.5" customHeight="1" thickTop="1" x14ac:dyDescent="0.2">
      <c r="A46" s="143"/>
      <c r="B46" s="125"/>
      <c r="C46" s="125"/>
      <c r="D46" s="125"/>
      <c r="E46" s="126"/>
      <c r="F46" s="125"/>
      <c r="G46" s="127"/>
    </row>
    <row r="47" spans="1:9" x14ac:dyDescent="0.2">
      <c r="A47" s="81" t="s">
        <v>18</v>
      </c>
      <c r="B47" s="118" t="e">
        <f ca="1">SUM(B3:B45)</f>
        <v>#N/A</v>
      </c>
      <c r="C47" s="118">
        <f>SUM(C5:C45)</f>
        <v>0</v>
      </c>
      <c r="D47" s="118" t="e">
        <f ca="1">SUM(D5:D45,B3)</f>
        <v>#N/A</v>
      </c>
      <c r="E47" s="112"/>
      <c r="F47" s="118"/>
      <c r="G47" s="77"/>
    </row>
    <row r="48" spans="1:9" ht="7.5" customHeight="1" thickBot="1" x14ac:dyDescent="0.25">
      <c r="A48" s="137"/>
      <c r="B48" s="138"/>
      <c r="C48" s="138"/>
      <c r="D48" s="138"/>
      <c r="E48" s="139"/>
      <c r="F48" s="138"/>
      <c r="G48" s="140"/>
    </row>
    <row r="49" spans="5:5" ht="12.75" thickTop="1" x14ac:dyDescent="0.2"/>
    <row r="54" spans="5:5" x14ac:dyDescent="0.2">
      <c r="E54" s="142"/>
    </row>
  </sheetData>
  <phoneticPr fontId="9" type="noConversion"/>
  <pageMargins left="0.75" right="0.75" top="0.5" bottom="0.5" header="0.5" footer="0.5"/>
  <pageSetup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A1256-F731-482E-9958-5912107C689D}">
  <sheetPr codeName="Sheet1"/>
  <dimension ref="A1:R32"/>
  <sheetViews>
    <sheetView showGridLines="0" workbookViewId="0">
      <selection activeCell="J16" sqref="J16"/>
    </sheetView>
  </sheetViews>
  <sheetFormatPr defaultRowHeight="12.75" x14ac:dyDescent="0.2"/>
  <cols>
    <col min="1" max="1" width="5.85546875" customWidth="1"/>
    <col min="2" max="3" width="7.5703125" customWidth="1"/>
    <col min="5" max="5" width="5.85546875" customWidth="1"/>
    <col min="6" max="7" width="7.5703125" customWidth="1"/>
    <col min="8" max="8" width="8.5703125" customWidth="1"/>
    <col min="9" max="9" width="5.85546875" customWidth="1"/>
    <col min="10" max="11" width="7.5703125" customWidth="1"/>
    <col min="12" max="12" width="8.5703125" customWidth="1"/>
    <col min="13" max="13" width="3.85546875" customWidth="1"/>
    <col min="14" max="14" width="6" customWidth="1"/>
    <col min="15" max="15" width="8.140625" customWidth="1"/>
    <col min="16" max="16" width="5.85546875" customWidth="1"/>
    <col min="17" max="17" width="6.28515625" customWidth="1"/>
    <col min="18" max="18" width="8.5703125" customWidth="1"/>
  </cols>
  <sheetData>
    <row r="1" spans="1:18" ht="18.75" thickTop="1" x14ac:dyDescent="0.25">
      <c r="A1" s="43" t="s">
        <v>0</v>
      </c>
      <c r="B1" s="44"/>
      <c r="C1" s="44"/>
      <c r="D1" s="44"/>
      <c r="E1" s="44"/>
      <c r="F1" s="44"/>
      <c r="G1" s="44"/>
      <c r="H1" s="44"/>
      <c r="I1" s="44"/>
      <c r="J1" s="44"/>
      <c r="K1" s="44"/>
      <c r="L1" s="45"/>
      <c r="N1" s="58" t="s">
        <v>1</v>
      </c>
      <c r="O1" s="59"/>
      <c r="P1" s="59"/>
      <c r="Q1" s="59"/>
      <c r="R1" s="60"/>
    </row>
    <row r="2" spans="1:18" ht="15" x14ac:dyDescent="0.25">
      <c r="A2" s="145" t="s">
        <v>2</v>
      </c>
      <c r="B2" s="144"/>
      <c r="C2" s="96"/>
      <c r="D2" s="97"/>
      <c r="E2" s="147" t="s">
        <v>263</v>
      </c>
      <c r="F2" s="83"/>
      <c r="G2" s="83"/>
      <c r="H2" s="84"/>
      <c r="I2" s="37" t="s">
        <v>4</v>
      </c>
      <c r="J2" s="38"/>
      <c r="K2" s="38"/>
      <c r="L2" s="46"/>
      <c r="N2" s="71"/>
      <c r="O2" s="56" t="s">
        <v>5</v>
      </c>
      <c r="P2" s="56"/>
      <c r="Q2" s="56"/>
      <c r="R2" s="72" t="s">
        <v>6</v>
      </c>
    </row>
    <row r="3" spans="1:18" ht="15.75" customHeight="1" x14ac:dyDescent="0.25">
      <c r="A3" s="146" t="s">
        <v>7</v>
      </c>
      <c r="B3" s="149" t="s">
        <v>8</v>
      </c>
      <c r="C3" s="149" t="s">
        <v>9</v>
      </c>
      <c r="D3" s="150" t="s">
        <v>10</v>
      </c>
      <c r="E3" s="148" t="s">
        <v>7</v>
      </c>
      <c r="F3" s="151" t="s">
        <v>8</v>
      </c>
      <c r="G3" s="151" t="s">
        <v>9</v>
      </c>
      <c r="H3" s="152" t="s">
        <v>10</v>
      </c>
      <c r="I3" s="39" t="s">
        <v>7</v>
      </c>
      <c r="J3" s="153" t="s">
        <v>8</v>
      </c>
      <c r="K3" s="153" t="s">
        <v>9</v>
      </c>
      <c r="L3" s="154" t="s">
        <v>10</v>
      </c>
      <c r="N3" s="61" t="s">
        <v>7</v>
      </c>
      <c r="O3" s="57" t="s">
        <v>11</v>
      </c>
      <c r="P3" s="57" t="s">
        <v>12</v>
      </c>
      <c r="Q3" s="57" t="s">
        <v>13</v>
      </c>
      <c r="R3" s="62" t="s">
        <v>14</v>
      </c>
    </row>
    <row r="4" spans="1:18" x14ac:dyDescent="0.2">
      <c r="A4" s="98">
        <v>1</v>
      </c>
      <c r="B4" s="170"/>
      <c r="C4" s="171"/>
      <c r="D4" s="99">
        <f t="shared" ref="D4:D11" si="0">C4*B4</f>
        <v>0</v>
      </c>
      <c r="E4" s="85">
        <v>1</v>
      </c>
      <c r="F4" s="86"/>
      <c r="G4" s="87"/>
      <c r="H4" s="88">
        <f t="shared" ref="H4:H27" si="1">G4*F4</f>
        <v>0</v>
      </c>
      <c r="I4" s="40">
        <v>1</v>
      </c>
      <c r="J4" s="49"/>
      <c r="K4" s="50"/>
      <c r="L4" s="73">
        <f t="shared" ref="L4:L27" si="2">K4*J4</f>
        <v>0</v>
      </c>
      <c r="N4" s="63">
        <v>1</v>
      </c>
      <c r="O4" s="393">
        <v>593.89318010591126</v>
      </c>
      <c r="P4" s="67"/>
      <c r="Q4" s="55">
        <f t="shared" ref="Q4:Q27" si="3">P4+O4</f>
        <v>593.89318010591126</v>
      </c>
      <c r="R4" s="70"/>
    </row>
    <row r="5" spans="1:18" x14ac:dyDescent="0.2">
      <c r="A5" s="98">
        <v>2</v>
      </c>
      <c r="B5" s="172"/>
      <c r="C5" s="173"/>
      <c r="D5" s="99">
        <f t="shared" si="0"/>
        <v>0</v>
      </c>
      <c r="E5" s="85">
        <v>2</v>
      </c>
      <c r="F5" s="89"/>
      <c r="G5" s="90"/>
      <c r="H5" s="88">
        <f t="shared" si="1"/>
        <v>0</v>
      </c>
      <c r="I5" s="40">
        <v>2</v>
      </c>
      <c r="J5" s="51"/>
      <c r="K5" s="52"/>
      <c r="L5" s="73">
        <f t="shared" si="2"/>
        <v>0</v>
      </c>
      <c r="N5" s="63">
        <v>2</v>
      </c>
      <c r="O5" s="394">
        <v>574.57865593372048</v>
      </c>
      <c r="P5" s="68"/>
      <c r="Q5" s="55">
        <f t="shared" si="3"/>
        <v>574.57865593372048</v>
      </c>
      <c r="R5" s="70"/>
    </row>
    <row r="6" spans="1:18" x14ac:dyDescent="0.2">
      <c r="A6" s="98">
        <v>3</v>
      </c>
      <c r="B6" s="172"/>
      <c r="C6" s="173"/>
      <c r="D6" s="99">
        <f t="shared" si="0"/>
        <v>0</v>
      </c>
      <c r="E6" s="85">
        <v>3</v>
      </c>
      <c r="F6" s="89"/>
      <c r="G6" s="90"/>
      <c r="H6" s="88">
        <f t="shared" si="1"/>
        <v>0</v>
      </c>
      <c r="I6" s="40">
        <v>3</v>
      </c>
      <c r="J6" s="51"/>
      <c r="K6" s="52"/>
      <c r="L6" s="73">
        <f t="shared" si="2"/>
        <v>0</v>
      </c>
      <c r="N6" s="63">
        <v>3</v>
      </c>
      <c r="O6" s="394">
        <v>564.02692684755721</v>
      </c>
      <c r="P6" s="68"/>
      <c r="Q6" s="55">
        <f t="shared" si="3"/>
        <v>564.02692684755721</v>
      </c>
      <c r="R6" s="70"/>
    </row>
    <row r="7" spans="1:18" x14ac:dyDescent="0.2">
      <c r="A7" s="98">
        <v>4</v>
      </c>
      <c r="B7" s="172"/>
      <c r="C7" s="173"/>
      <c r="D7" s="99">
        <f t="shared" si="0"/>
        <v>0</v>
      </c>
      <c r="E7" s="85">
        <v>4</v>
      </c>
      <c r="F7" s="89"/>
      <c r="G7" s="90"/>
      <c r="H7" s="88">
        <f t="shared" si="1"/>
        <v>0</v>
      </c>
      <c r="I7" s="40">
        <v>4</v>
      </c>
      <c r="J7" s="51"/>
      <c r="K7" s="52"/>
      <c r="L7" s="73">
        <f t="shared" si="2"/>
        <v>0</v>
      </c>
      <c r="N7" s="63">
        <v>4</v>
      </c>
      <c r="O7" s="394">
        <v>562.62550295155063</v>
      </c>
      <c r="P7" s="68"/>
      <c r="Q7" s="55">
        <f t="shared" si="3"/>
        <v>562.62550295155063</v>
      </c>
      <c r="R7" s="70"/>
    </row>
    <row r="8" spans="1:18" x14ac:dyDescent="0.2">
      <c r="A8" s="98">
        <v>5</v>
      </c>
      <c r="B8" s="172"/>
      <c r="C8" s="173"/>
      <c r="D8" s="99">
        <f t="shared" si="0"/>
        <v>0</v>
      </c>
      <c r="E8" s="85">
        <v>5</v>
      </c>
      <c r="F8" s="89"/>
      <c r="G8" s="90"/>
      <c r="H8" s="88">
        <f t="shared" si="1"/>
        <v>0</v>
      </c>
      <c r="I8" s="40">
        <v>5</v>
      </c>
      <c r="J8" s="51"/>
      <c r="K8" s="52"/>
      <c r="L8" s="73">
        <f t="shared" si="2"/>
        <v>0</v>
      </c>
      <c r="N8" s="63">
        <v>5</v>
      </c>
      <c r="O8" s="394">
        <v>575.53200575993935</v>
      </c>
      <c r="P8" s="68"/>
      <c r="Q8" s="55">
        <f t="shared" si="3"/>
        <v>575.53200575993935</v>
      </c>
      <c r="R8" s="70"/>
    </row>
    <row r="9" spans="1:18" x14ac:dyDescent="0.2">
      <c r="A9" s="98">
        <v>6</v>
      </c>
      <c r="B9" s="172"/>
      <c r="C9" s="173"/>
      <c r="D9" s="99">
        <f t="shared" si="0"/>
        <v>0</v>
      </c>
      <c r="E9" s="85">
        <v>6</v>
      </c>
      <c r="F9" s="89"/>
      <c r="G9" s="90"/>
      <c r="H9" s="88">
        <f t="shared" si="1"/>
        <v>0</v>
      </c>
      <c r="I9" s="40">
        <v>6</v>
      </c>
      <c r="J9" s="51"/>
      <c r="K9" s="52"/>
      <c r="L9" s="73">
        <f t="shared" si="2"/>
        <v>0</v>
      </c>
      <c r="N9" s="63">
        <v>6</v>
      </c>
      <c r="O9" s="394">
        <v>629.09025332605336</v>
      </c>
      <c r="P9" s="68"/>
      <c r="Q9" s="55">
        <f t="shared" si="3"/>
        <v>629.09025332605336</v>
      </c>
      <c r="R9" s="70"/>
    </row>
    <row r="10" spans="1:18" x14ac:dyDescent="0.2">
      <c r="A10" s="98">
        <v>7</v>
      </c>
      <c r="B10" s="172"/>
      <c r="C10" s="173"/>
      <c r="D10" s="99">
        <f t="shared" si="0"/>
        <v>0</v>
      </c>
      <c r="E10" s="85">
        <v>7</v>
      </c>
      <c r="F10" s="89"/>
      <c r="G10" s="90"/>
      <c r="H10" s="88">
        <f t="shared" si="1"/>
        <v>0</v>
      </c>
      <c r="I10" s="40">
        <v>7</v>
      </c>
      <c r="J10" s="51"/>
      <c r="K10" s="52"/>
      <c r="L10" s="73">
        <f t="shared" si="2"/>
        <v>0</v>
      </c>
      <c r="N10" s="63">
        <v>7</v>
      </c>
      <c r="O10" s="394">
        <v>718.67394385190016</v>
      </c>
      <c r="P10" s="68"/>
      <c r="Q10" s="55">
        <f t="shared" si="3"/>
        <v>718.67394385190016</v>
      </c>
      <c r="R10" s="70"/>
    </row>
    <row r="11" spans="1:18" x14ac:dyDescent="0.2">
      <c r="A11" s="98">
        <v>8</v>
      </c>
      <c r="B11" s="172"/>
      <c r="C11" s="173"/>
      <c r="D11" s="99">
        <f t="shared" si="0"/>
        <v>0</v>
      </c>
      <c r="E11" s="85">
        <v>8</v>
      </c>
      <c r="F11" s="89"/>
      <c r="G11" s="90"/>
      <c r="H11" s="88">
        <f t="shared" si="1"/>
        <v>0</v>
      </c>
      <c r="I11" s="40">
        <v>8</v>
      </c>
      <c r="J11" s="51"/>
      <c r="K11" s="52"/>
      <c r="L11" s="73">
        <f t="shared" si="2"/>
        <v>0</v>
      </c>
      <c r="N11" s="63">
        <v>8</v>
      </c>
      <c r="O11" s="394">
        <v>786.79306244029954</v>
      </c>
      <c r="P11" s="68"/>
      <c r="Q11" s="55">
        <f t="shared" si="3"/>
        <v>786.79306244029954</v>
      </c>
      <c r="R11" s="70"/>
    </row>
    <row r="12" spans="1:18" x14ac:dyDescent="0.2">
      <c r="A12" s="98">
        <v>9</v>
      </c>
      <c r="B12" s="172"/>
      <c r="C12" s="173"/>
      <c r="D12" s="99"/>
      <c r="E12" s="85">
        <v>9</v>
      </c>
      <c r="F12" s="89"/>
      <c r="G12" s="90"/>
      <c r="H12" s="88">
        <f t="shared" si="1"/>
        <v>0</v>
      </c>
      <c r="I12" s="40">
        <v>9</v>
      </c>
      <c r="J12" s="51"/>
      <c r="K12" s="52"/>
      <c r="L12" s="73">
        <f t="shared" si="2"/>
        <v>0</v>
      </c>
      <c r="N12" s="63">
        <v>9</v>
      </c>
      <c r="O12" s="394">
        <v>824.48557372865457</v>
      </c>
      <c r="P12" s="68"/>
      <c r="Q12" s="55">
        <f t="shared" si="3"/>
        <v>824.48557372865457</v>
      </c>
      <c r="R12" s="70"/>
    </row>
    <row r="13" spans="1:18" x14ac:dyDescent="0.2">
      <c r="A13" s="98">
        <v>10</v>
      </c>
      <c r="B13" s="172"/>
      <c r="C13" s="173"/>
      <c r="D13" s="99"/>
      <c r="E13" s="85">
        <v>10</v>
      </c>
      <c r="F13" s="89"/>
      <c r="G13" s="90"/>
      <c r="H13" s="88">
        <f t="shared" si="1"/>
        <v>0</v>
      </c>
      <c r="I13" s="40">
        <v>10</v>
      </c>
      <c r="J13" s="51"/>
      <c r="K13" s="52"/>
      <c r="L13" s="73">
        <f t="shared" si="2"/>
        <v>0</v>
      </c>
      <c r="N13" s="63">
        <v>10</v>
      </c>
      <c r="O13" s="394">
        <v>846.24231745706504</v>
      </c>
      <c r="P13" s="68"/>
      <c r="Q13" s="55">
        <f t="shared" si="3"/>
        <v>846.24231745706504</v>
      </c>
      <c r="R13" s="70"/>
    </row>
    <row r="14" spans="1:18" x14ac:dyDescent="0.2">
      <c r="A14" s="98">
        <v>11</v>
      </c>
      <c r="B14" s="172"/>
      <c r="C14" s="173"/>
      <c r="D14" s="99"/>
      <c r="E14" s="85">
        <v>11</v>
      </c>
      <c r="F14" s="89"/>
      <c r="G14" s="90"/>
      <c r="H14" s="88">
        <f t="shared" si="1"/>
        <v>0</v>
      </c>
      <c r="I14" s="40">
        <v>11</v>
      </c>
      <c r="J14" s="51"/>
      <c r="K14" s="52"/>
      <c r="L14" s="73">
        <f t="shared" si="2"/>
        <v>0</v>
      </c>
      <c r="N14" s="63">
        <v>11</v>
      </c>
      <c r="O14" s="394">
        <v>860.71781850104651</v>
      </c>
      <c r="P14" s="68"/>
      <c r="Q14" s="55">
        <f t="shared" si="3"/>
        <v>860.71781850104651</v>
      </c>
      <c r="R14" s="70"/>
    </row>
    <row r="15" spans="1:18" x14ac:dyDescent="0.2">
      <c r="A15" s="98">
        <v>12</v>
      </c>
      <c r="B15" s="172"/>
      <c r="C15" s="173"/>
      <c r="D15" s="99"/>
      <c r="E15" s="85">
        <v>12</v>
      </c>
      <c r="F15" s="89"/>
      <c r="G15" s="90"/>
      <c r="H15" s="88">
        <f t="shared" si="1"/>
        <v>0</v>
      </c>
      <c r="I15" s="40">
        <v>12</v>
      </c>
      <c r="J15" s="51"/>
      <c r="K15" s="52"/>
      <c r="L15" s="73">
        <f t="shared" si="2"/>
        <v>0</v>
      </c>
      <c r="N15" s="63">
        <v>12</v>
      </c>
      <c r="O15" s="394">
        <v>860.74881249733164</v>
      </c>
      <c r="P15" s="68"/>
      <c r="Q15" s="55">
        <f t="shared" si="3"/>
        <v>860.74881249733164</v>
      </c>
      <c r="R15" s="70"/>
    </row>
    <row r="16" spans="1:18" x14ac:dyDescent="0.2">
      <c r="A16" s="98">
        <v>13</v>
      </c>
      <c r="B16" s="172"/>
      <c r="C16" s="173"/>
      <c r="D16" s="99"/>
      <c r="E16" s="85">
        <v>13</v>
      </c>
      <c r="F16" s="89"/>
      <c r="G16" s="90"/>
      <c r="H16" s="88">
        <f t="shared" si="1"/>
        <v>0</v>
      </c>
      <c r="I16" s="40">
        <v>13</v>
      </c>
      <c r="J16" s="51"/>
      <c r="K16" s="52"/>
      <c r="L16" s="73">
        <f t="shared" si="2"/>
        <v>0</v>
      </c>
      <c r="N16" s="63">
        <v>13</v>
      </c>
      <c r="O16" s="394">
        <v>857.47958682067258</v>
      </c>
      <c r="P16" s="68"/>
      <c r="Q16" s="55">
        <f t="shared" si="3"/>
        <v>857.47958682067258</v>
      </c>
      <c r="R16" s="70"/>
    </row>
    <row r="17" spans="1:18" x14ac:dyDescent="0.2">
      <c r="A17" s="98">
        <v>14</v>
      </c>
      <c r="B17" s="172"/>
      <c r="C17" s="173"/>
      <c r="D17" s="99"/>
      <c r="E17" s="85">
        <v>14</v>
      </c>
      <c r="F17" s="89"/>
      <c r="G17" s="90"/>
      <c r="H17" s="88">
        <f t="shared" si="1"/>
        <v>0</v>
      </c>
      <c r="I17" s="40">
        <v>14</v>
      </c>
      <c r="J17" s="51"/>
      <c r="K17" s="52"/>
      <c r="L17" s="73">
        <f t="shared" si="2"/>
        <v>0</v>
      </c>
      <c r="N17" s="63">
        <v>14</v>
      </c>
      <c r="O17" s="394">
        <v>858.39661603229365</v>
      </c>
      <c r="P17" s="68"/>
      <c r="Q17" s="55">
        <f t="shared" si="3"/>
        <v>858.39661603229365</v>
      </c>
      <c r="R17" s="70"/>
    </row>
    <row r="18" spans="1:18" x14ac:dyDescent="0.2">
      <c r="A18" s="98">
        <v>15</v>
      </c>
      <c r="B18" s="172"/>
      <c r="C18" s="173"/>
      <c r="D18" s="99"/>
      <c r="E18" s="85">
        <v>15</v>
      </c>
      <c r="F18" s="89"/>
      <c r="G18" s="90"/>
      <c r="H18" s="88">
        <f t="shared" si="1"/>
        <v>0</v>
      </c>
      <c r="I18" s="40">
        <v>15</v>
      </c>
      <c r="J18" s="51"/>
      <c r="K18" s="52"/>
      <c r="L18" s="73">
        <f t="shared" si="2"/>
        <v>0</v>
      </c>
      <c r="N18" s="63">
        <v>15</v>
      </c>
      <c r="O18" s="394">
        <v>852.07609176920209</v>
      </c>
      <c r="P18" s="68"/>
      <c r="Q18" s="55">
        <f t="shared" si="3"/>
        <v>852.07609176920209</v>
      </c>
      <c r="R18" s="70"/>
    </row>
    <row r="19" spans="1:18" x14ac:dyDescent="0.2">
      <c r="A19" s="98">
        <v>16</v>
      </c>
      <c r="B19" s="172"/>
      <c r="C19" s="173"/>
      <c r="D19" s="99"/>
      <c r="E19" s="85">
        <v>16</v>
      </c>
      <c r="F19" s="89"/>
      <c r="G19" s="90"/>
      <c r="H19" s="88">
        <f t="shared" si="1"/>
        <v>0</v>
      </c>
      <c r="I19" s="40">
        <v>16</v>
      </c>
      <c r="J19" s="51"/>
      <c r="K19" s="52"/>
      <c r="L19" s="73">
        <f t="shared" si="2"/>
        <v>0</v>
      </c>
      <c r="N19" s="63">
        <v>16</v>
      </c>
      <c r="O19" s="394">
        <v>839.57061572688258</v>
      </c>
      <c r="P19" s="68"/>
      <c r="Q19" s="55">
        <f t="shared" si="3"/>
        <v>839.57061572688258</v>
      </c>
      <c r="R19" s="70"/>
    </row>
    <row r="20" spans="1:18" x14ac:dyDescent="0.2">
      <c r="A20" s="98">
        <v>17</v>
      </c>
      <c r="B20" s="172"/>
      <c r="C20" s="173"/>
      <c r="D20" s="99"/>
      <c r="E20" s="85">
        <v>17</v>
      </c>
      <c r="F20" s="89"/>
      <c r="G20" s="90"/>
      <c r="H20" s="88">
        <f t="shared" si="1"/>
        <v>0</v>
      </c>
      <c r="I20" s="40">
        <v>17</v>
      </c>
      <c r="J20" s="51"/>
      <c r="K20" s="52"/>
      <c r="L20" s="73">
        <f t="shared" si="2"/>
        <v>0</v>
      </c>
      <c r="N20" s="63">
        <v>17</v>
      </c>
      <c r="O20" s="394">
        <v>817.91701380028849</v>
      </c>
      <c r="P20" s="68"/>
      <c r="Q20" s="55">
        <f t="shared" si="3"/>
        <v>817.91701380028849</v>
      </c>
      <c r="R20" s="70"/>
    </row>
    <row r="21" spans="1:18" x14ac:dyDescent="0.2">
      <c r="A21" s="98">
        <v>18</v>
      </c>
      <c r="B21" s="172"/>
      <c r="C21" s="173"/>
      <c r="D21" s="99"/>
      <c r="E21" s="85">
        <v>18</v>
      </c>
      <c r="F21" s="89"/>
      <c r="G21" s="90"/>
      <c r="H21" s="88">
        <f t="shared" si="1"/>
        <v>0</v>
      </c>
      <c r="I21" s="40">
        <v>18</v>
      </c>
      <c r="J21" s="51"/>
      <c r="K21" s="52"/>
      <c r="L21" s="73">
        <f t="shared" si="2"/>
        <v>0</v>
      </c>
      <c r="N21" s="63">
        <v>18</v>
      </c>
      <c r="O21" s="394">
        <v>801.87416845876828</v>
      </c>
      <c r="P21" s="68"/>
      <c r="Q21" s="55">
        <f t="shared" si="3"/>
        <v>801.87416845876828</v>
      </c>
      <c r="R21" s="70"/>
    </row>
    <row r="22" spans="1:18" x14ac:dyDescent="0.2">
      <c r="A22" s="98">
        <v>19</v>
      </c>
      <c r="B22" s="172"/>
      <c r="C22" s="173"/>
      <c r="D22" s="99"/>
      <c r="E22" s="85">
        <v>19</v>
      </c>
      <c r="F22" s="89"/>
      <c r="G22" s="90"/>
      <c r="H22" s="88">
        <f t="shared" si="1"/>
        <v>0</v>
      </c>
      <c r="I22" s="40">
        <v>19</v>
      </c>
      <c r="J22" s="51"/>
      <c r="K22" s="52"/>
      <c r="L22" s="73">
        <f t="shared" si="2"/>
        <v>0</v>
      </c>
      <c r="N22" s="63">
        <v>19</v>
      </c>
      <c r="O22" s="394">
        <v>851.80878624783804</v>
      </c>
      <c r="P22" s="68"/>
      <c r="Q22" s="55">
        <f t="shared" si="3"/>
        <v>851.80878624783804</v>
      </c>
      <c r="R22" s="70"/>
    </row>
    <row r="23" spans="1:18" x14ac:dyDescent="0.2">
      <c r="A23" s="98">
        <v>20</v>
      </c>
      <c r="B23" s="172"/>
      <c r="C23" s="173"/>
      <c r="D23" s="99"/>
      <c r="E23" s="85">
        <v>20</v>
      </c>
      <c r="F23" s="89"/>
      <c r="G23" s="90"/>
      <c r="H23" s="88">
        <f t="shared" si="1"/>
        <v>0</v>
      </c>
      <c r="I23" s="40">
        <v>20</v>
      </c>
      <c r="J23" s="51"/>
      <c r="K23" s="52"/>
      <c r="L23" s="73">
        <f t="shared" si="2"/>
        <v>0</v>
      </c>
      <c r="N23" s="63">
        <v>20</v>
      </c>
      <c r="O23" s="394">
        <v>878.8392086357868</v>
      </c>
      <c r="P23" s="68"/>
      <c r="Q23" s="55">
        <f t="shared" si="3"/>
        <v>878.8392086357868</v>
      </c>
      <c r="R23" s="70"/>
    </row>
    <row r="24" spans="1:18" x14ac:dyDescent="0.2">
      <c r="A24" s="98">
        <v>21</v>
      </c>
      <c r="B24" s="172"/>
      <c r="C24" s="173"/>
      <c r="D24" s="99"/>
      <c r="E24" s="85">
        <v>21</v>
      </c>
      <c r="F24" s="89"/>
      <c r="G24" s="90"/>
      <c r="H24" s="88">
        <f t="shared" si="1"/>
        <v>0</v>
      </c>
      <c r="I24" s="40">
        <v>21</v>
      </c>
      <c r="J24" s="51"/>
      <c r="K24" s="52"/>
      <c r="L24" s="73">
        <f t="shared" si="2"/>
        <v>0</v>
      </c>
      <c r="N24" s="63">
        <v>21</v>
      </c>
      <c r="O24" s="394">
        <v>854.47732117553107</v>
      </c>
      <c r="P24" s="68"/>
      <c r="Q24" s="55">
        <f t="shared" si="3"/>
        <v>854.47732117553107</v>
      </c>
      <c r="R24" s="70"/>
    </row>
    <row r="25" spans="1:18" x14ac:dyDescent="0.2">
      <c r="A25" s="98">
        <v>22</v>
      </c>
      <c r="B25" s="172"/>
      <c r="C25" s="173"/>
      <c r="D25" s="99"/>
      <c r="E25" s="85">
        <v>22</v>
      </c>
      <c r="F25" s="89"/>
      <c r="G25" s="90"/>
      <c r="H25" s="88">
        <f t="shared" si="1"/>
        <v>0</v>
      </c>
      <c r="I25" s="40">
        <v>22</v>
      </c>
      <c r="J25" s="51"/>
      <c r="K25" s="52"/>
      <c r="L25" s="73">
        <f t="shared" si="2"/>
        <v>0</v>
      </c>
      <c r="N25" s="63">
        <v>22</v>
      </c>
      <c r="O25" s="394">
        <v>801.45925667495624</v>
      </c>
      <c r="P25" s="68"/>
      <c r="Q25" s="55">
        <f t="shared" si="3"/>
        <v>801.45925667495624</v>
      </c>
      <c r="R25" s="70"/>
    </row>
    <row r="26" spans="1:18" x14ac:dyDescent="0.2">
      <c r="A26" s="98">
        <v>23</v>
      </c>
      <c r="B26" s="172"/>
      <c r="C26" s="173"/>
      <c r="D26" s="99"/>
      <c r="E26" s="85">
        <v>23</v>
      </c>
      <c r="F26" s="89"/>
      <c r="G26" s="90"/>
      <c r="H26" s="88">
        <f t="shared" si="1"/>
        <v>0</v>
      </c>
      <c r="I26" s="40">
        <v>23</v>
      </c>
      <c r="J26" s="51"/>
      <c r="K26" s="52"/>
      <c r="L26" s="73">
        <f t="shared" si="2"/>
        <v>0</v>
      </c>
      <c r="N26" s="63">
        <v>23</v>
      </c>
      <c r="O26" s="394">
        <v>721.08074792847356</v>
      </c>
      <c r="P26" s="68"/>
      <c r="Q26" s="55">
        <f t="shared" si="3"/>
        <v>721.08074792847356</v>
      </c>
      <c r="R26" s="70"/>
    </row>
    <row r="27" spans="1:18" x14ac:dyDescent="0.2">
      <c r="A27" s="98">
        <v>24</v>
      </c>
      <c r="B27" s="174"/>
      <c r="C27" s="175"/>
      <c r="D27" s="99"/>
      <c r="E27" s="85">
        <v>24</v>
      </c>
      <c r="F27" s="91"/>
      <c r="G27" s="92"/>
      <c r="H27" s="88">
        <f t="shared" si="1"/>
        <v>0</v>
      </c>
      <c r="I27" s="40">
        <v>24</v>
      </c>
      <c r="J27" s="53"/>
      <c r="K27" s="54"/>
      <c r="L27" s="73">
        <f t="shared" si="2"/>
        <v>0</v>
      </c>
      <c r="N27" s="63">
        <v>24</v>
      </c>
      <c r="O27" s="395">
        <v>645.28944657956242</v>
      </c>
      <c r="P27" s="69"/>
      <c r="Q27" s="55">
        <f t="shared" si="3"/>
        <v>645.28944657956242</v>
      </c>
      <c r="R27" s="70"/>
    </row>
    <row r="28" spans="1:18" ht="13.5" thickBot="1" x14ac:dyDescent="0.25">
      <c r="A28" s="98"/>
      <c r="B28" s="100"/>
      <c r="C28" s="100"/>
      <c r="D28" s="99"/>
      <c r="E28" s="85"/>
      <c r="F28" s="55"/>
      <c r="G28" s="55"/>
      <c r="H28" s="88"/>
      <c r="I28" s="40"/>
      <c r="J28" s="41"/>
      <c r="K28" s="41"/>
      <c r="L28" s="73"/>
      <c r="N28" s="64"/>
      <c r="O28" s="65" t="s">
        <v>15</v>
      </c>
      <c r="P28" s="65"/>
      <c r="Q28" s="65"/>
      <c r="R28" s="66"/>
    </row>
    <row r="29" spans="1:18" ht="13.5" thickTop="1" x14ac:dyDescent="0.2">
      <c r="A29" s="101" t="s">
        <v>16</v>
      </c>
      <c r="B29" s="100">
        <f>SUMIF(B4:B27,"&lt;0")</f>
        <v>0</v>
      </c>
      <c r="C29" s="100"/>
      <c r="D29" s="99">
        <f>SUMIF(D4:D27,"&lt;0")</f>
        <v>0</v>
      </c>
      <c r="E29" s="93" t="s">
        <v>16</v>
      </c>
      <c r="F29" s="55">
        <f>SUMIF(F4:F27,"&lt;0")</f>
        <v>0</v>
      </c>
      <c r="G29" s="55"/>
      <c r="H29" s="88">
        <f>SUMIF(H4:H27,"&lt;0")</f>
        <v>0</v>
      </c>
      <c r="I29" s="42" t="s">
        <v>16</v>
      </c>
      <c r="J29" s="41">
        <f>SUMIF(J4:J27,"&lt;0")</f>
        <v>0</v>
      </c>
      <c r="K29" s="41"/>
      <c r="L29" s="73">
        <f>SUMIF(L4:L27,"&lt;0")</f>
        <v>0</v>
      </c>
    </row>
    <row r="30" spans="1:18" x14ac:dyDescent="0.2">
      <c r="A30" s="101" t="s">
        <v>17</v>
      </c>
      <c r="B30" s="100">
        <f>SUMIF(B4:B27,"&gt;0")</f>
        <v>0</v>
      </c>
      <c r="C30" s="100"/>
      <c r="D30" s="99">
        <f>SUMIF(D4:D27,"&gt;0")</f>
        <v>0</v>
      </c>
      <c r="E30" s="93" t="s">
        <v>17</v>
      </c>
      <c r="F30" s="55">
        <f>SUMIF(F4:F27,"&gt;0")</f>
        <v>0</v>
      </c>
      <c r="G30" s="55"/>
      <c r="H30" s="88">
        <f>SUMIF(H4:H27,"&gt;0")</f>
        <v>0</v>
      </c>
      <c r="I30" s="42" t="s">
        <v>17</v>
      </c>
      <c r="J30" s="41">
        <f>SUMIF(J4:J27,"&gt;0")</f>
        <v>0</v>
      </c>
      <c r="K30" s="41"/>
      <c r="L30" s="73">
        <f>SUMIF(L4:L27,"&gt;0")</f>
        <v>0</v>
      </c>
    </row>
    <row r="31" spans="1:18" ht="13.5" thickBot="1" x14ac:dyDescent="0.25">
      <c r="A31" s="102" t="s">
        <v>18</v>
      </c>
      <c r="B31" s="103">
        <f>SUM(B4:B27)</f>
        <v>0</v>
      </c>
      <c r="C31" s="103"/>
      <c r="D31" s="104">
        <f>SUM(D4:D27)</f>
        <v>0</v>
      </c>
      <c r="E31" s="94" t="s">
        <v>18</v>
      </c>
      <c r="F31" s="65">
        <f>SUM(F4:F27)</f>
        <v>0</v>
      </c>
      <c r="G31" s="65"/>
      <c r="H31" s="95">
        <f>SUM(H4:H27)</f>
        <v>0</v>
      </c>
      <c r="I31" s="47" t="s">
        <v>18</v>
      </c>
      <c r="J31" s="48">
        <f>SUM(J4:J27)</f>
        <v>0</v>
      </c>
      <c r="K31" s="48"/>
      <c r="L31" s="74">
        <f>SUM(L4:L27)</f>
        <v>0</v>
      </c>
    </row>
    <row r="32" spans="1:18" ht="13.5" thickTop="1" x14ac:dyDescent="0.2"/>
  </sheetData>
  <phoneticPr fontId="9"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86751-41FD-4F65-BC95-FAC0AFC4C784}">
  <sheetPr codeName="Sheet9"/>
  <dimension ref="A1:D490"/>
  <sheetViews>
    <sheetView topLeftCell="A19" workbookViewId="0">
      <selection activeCell="D47" sqref="D47"/>
    </sheetView>
  </sheetViews>
  <sheetFormatPr defaultRowHeight="12.75" x14ac:dyDescent="0.2"/>
  <cols>
    <col min="1" max="1" width="12" customWidth="1"/>
    <col min="2" max="2" width="41.28515625" customWidth="1"/>
    <col min="3" max="3" width="33.5703125" customWidth="1"/>
    <col min="4" max="4" width="70.7109375" customWidth="1"/>
  </cols>
  <sheetData>
    <row r="1" spans="1:4" x14ac:dyDescent="0.2">
      <c r="A1" t="s">
        <v>246</v>
      </c>
    </row>
    <row r="2" spans="1:4" x14ac:dyDescent="0.2">
      <c r="A2" t="s">
        <v>247</v>
      </c>
    </row>
    <row r="4" spans="1:4" x14ac:dyDescent="0.2">
      <c r="A4" s="386" t="s">
        <v>248</v>
      </c>
      <c r="B4" s="386" t="s">
        <v>251</v>
      </c>
      <c r="C4" s="387" t="s">
        <v>249</v>
      </c>
      <c r="D4" s="387" t="s">
        <v>250</v>
      </c>
    </row>
    <row r="5" spans="1:4" x14ac:dyDescent="0.2">
      <c r="A5" s="388"/>
      <c r="B5" s="429"/>
      <c r="C5" s="389"/>
      <c r="D5" s="389"/>
    </row>
    <row r="6" spans="1:4" x14ac:dyDescent="0.2">
      <c r="A6" s="388">
        <v>36592</v>
      </c>
      <c r="B6" s="389" t="s">
        <v>283</v>
      </c>
      <c r="C6" s="389" t="s">
        <v>282</v>
      </c>
      <c r="D6" s="389" t="s">
        <v>285</v>
      </c>
    </row>
    <row r="7" spans="1:4" x14ac:dyDescent="0.2">
      <c r="A7" s="390"/>
      <c r="B7" s="389" t="s">
        <v>284</v>
      </c>
      <c r="C7" s="389"/>
      <c r="D7" s="389" t="s">
        <v>286</v>
      </c>
    </row>
    <row r="8" spans="1:4" x14ac:dyDescent="0.2">
      <c r="A8" s="441"/>
      <c r="B8" s="389"/>
      <c r="C8" s="389"/>
      <c r="D8" s="389" t="s">
        <v>287</v>
      </c>
    </row>
    <row r="9" spans="1:4" x14ac:dyDescent="0.2">
      <c r="A9" s="390"/>
      <c r="B9" s="389"/>
      <c r="C9" s="389"/>
      <c r="D9" s="389"/>
    </row>
    <row r="10" spans="1:4" x14ac:dyDescent="0.2">
      <c r="A10" s="388">
        <v>36603</v>
      </c>
      <c r="B10" s="389" t="s">
        <v>288</v>
      </c>
      <c r="C10" s="389" t="s">
        <v>290</v>
      </c>
      <c r="D10" s="389" t="s">
        <v>296</v>
      </c>
    </row>
    <row r="11" spans="1:4" x14ac:dyDescent="0.2">
      <c r="A11" s="390"/>
      <c r="B11" s="389" t="s">
        <v>289</v>
      </c>
      <c r="C11" s="389"/>
      <c r="D11" s="389" t="s">
        <v>293</v>
      </c>
    </row>
    <row r="12" spans="1:4" x14ac:dyDescent="0.2">
      <c r="A12" s="390"/>
      <c r="B12" s="389"/>
      <c r="C12" s="389"/>
      <c r="D12" s="389" t="s">
        <v>291</v>
      </c>
    </row>
    <row r="13" spans="1:4" x14ac:dyDescent="0.2">
      <c r="A13" s="390"/>
      <c r="B13" s="389"/>
      <c r="C13" s="389"/>
      <c r="D13" s="389" t="s">
        <v>292</v>
      </c>
    </row>
    <row r="14" spans="1:4" x14ac:dyDescent="0.2">
      <c r="A14" s="390"/>
      <c r="B14" s="389"/>
      <c r="C14" s="389"/>
      <c r="D14" s="389"/>
    </row>
    <row r="15" spans="1:4" x14ac:dyDescent="0.2">
      <c r="A15" s="388">
        <v>36603</v>
      </c>
      <c r="B15" s="389" t="s">
        <v>294</v>
      </c>
      <c r="C15" s="389" t="s">
        <v>290</v>
      </c>
      <c r="D15" s="389" t="s">
        <v>297</v>
      </c>
    </row>
    <row r="16" spans="1:4" x14ac:dyDescent="0.2">
      <c r="A16" s="390"/>
      <c r="B16" s="389" t="s">
        <v>295</v>
      </c>
      <c r="C16" s="389"/>
      <c r="D16" s="389" t="s">
        <v>298</v>
      </c>
    </row>
    <row r="17" spans="1:4" x14ac:dyDescent="0.2">
      <c r="A17" s="441"/>
      <c r="B17" s="389"/>
      <c r="C17" s="389"/>
      <c r="D17" s="389" t="s">
        <v>300</v>
      </c>
    </row>
    <row r="18" spans="1:4" x14ac:dyDescent="0.2">
      <c r="A18" s="390"/>
      <c r="B18" s="389"/>
      <c r="C18" s="389"/>
      <c r="D18" s="389" t="s">
        <v>301</v>
      </c>
    </row>
    <row r="19" spans="1:4" x14ac:dyDescent="0.2">
      <c r="A19" s="390"/>
      <c r="B19" s="389"/>
      <c r="C19" s="389"/>
      <c r="D19" s="389" t="s">
        <v>299</v>
      </c>
    </row>
    <row r="20" spans="1:4" x14ac:dyDescent="0.2">
      <c r="A20" s="388">
        <v>36644</v>
      </c>
      <c r="B20" s="389" t="s">
        <v>304</v>
      </c>
      <c r="C20" s="389" t="s">
        <v>303</v>
      </c>
      <c r="D20" s="389" t="s">
        <v>302</v>
      </c>
    </row>
    <row r="21" spans="1:4" x14ac:dyDescent="0.2">
      <c r="A21" s="388"/>
      <c r="B21" s="389"/>
      <c r="C21" s="389"/>
      <c r="D21" s="389"/>
    </row>
    <row r="22" spans="1:4" x14ac:dyDescent="0.2">
      <c r="A22" s="388">
        <v>36730</v>
      </c>
      <c r="B22" s="389" t="s">
        <v>308</v>
      </c>
      <c r="C22" s="389" t="s">
        <v>309</v>
      </c>
      <c r="D22" s="389" t="s">
        <v>310</v>
      </c>
    </row>
    <row r="23" spans="1:4" x14ac:dyDescent="0.2">
      <c r="A23" s="390"/>
      <c r="B23" s="389"/>
      <c r="C23" s="389"/>
      <c r="D23" s="389"/>
    </row>
    <row r="24" spans="1:4" x14ac:dyDescent="0.2">
      <c r="A24" s="388">
        <v>36733</v>
      </c>
      <c r="B24" s="389" t="s">
        <v>311</v>
      </c>
      <c r="C24" s="389" t="s">
        <v>312</v>
      </c>
      <c r="D24" s="389" t="s">
        <v>313</v>
      </c>
    </row>
    <row r="25" spans="1:4" x14ac:dyDescent="0.2">
      <c r="A25" s="390"/>
      <c r="B25" s="389"/>
      <c r="C25" s="389"/>
      <c r="D25" s="389"/>
    </row>
    <row r="26" spans="1:4" x14ac:dyDescent="0.2">
      <c r="A26" s="388">
        <v>36733</v>
      </c>
      <c r="B26" s="389" t="s">
        <v>315</v>
      </c>
      <c r="C26" s="389" t="s">
        <v>312</v>
      </c>
      <c r="D26" s="389" t="s">
        <v>314</v>
      </c>
    </row>
    <row r="27" spans="1:4" x14ac:dyDescent="0.2">
      <c r="A27" s="390"/>
      <c r="B27" s="389"/>
      <c r="C27" s="389"/>
      <c r="D27" s="389"/>
    </row>
    <row r="28" spans="1:4" x14ac:dyDescent="0.2">
      <c r="A28" s="388">
        <v>36734</v>
      </c>
      <c r="B28" s="389" t="s">
        <v>317</v>
      </c>
      <c r="C28" s="389" t="s">
        <v>312</v>
      </c>
      <c r="D28" s="389" t="s">
        <v>316</v>
      </c>
    </row>
    <row r="29" spans="1:4" x14ac:dyDescent="0.2">
      <c r="A29" s="390"/>
      <c r="B29" s="389"/>
      <c r="C29" s="389"/>
      <c r="D29" s="389"/>
    </row>
    <row r="30" spans="1:4" x14ac:dyDescent="0.2">
      <c r="A30" s="388">
        <v>36734</v>
      </c>
      <c r="B30" s="389" t="s">
        <v>318</v>
      </c>
      <c r="C30" s="389"/>
      <c r="D30" s="389" t="s">
        <v>319</v>
      </c>
    </row>
    <row r="31" spans="1:4" x14ac:dyDescent="0.2">
      <c r="A31" s="390"/>
      <c r="B31" s="389"/>
      <c r="C31" s="389"/>
      <c r="D31" s="389"/>
    </row>
    <row r="32" spans="1:4" x14ac:dyDescent="0.2">
      <c r="A32" s="388">
        <v>36778</v>
      </c>
      <c r="B32" s="389" t="s">
        <v>322</v>
      </c>
      <c r="C32" s="389" t="s">
        <v>325</v>
      </c>
      <c r="D32" s="389" t="s">
        <v>324</v>
      </c>
    </row>
    <row r="33" spans="1:4" x14ac:dyDescent="0.2">
      <c r="A33" s="390"/>
      <c r="B33" s="389"/>
      <c r="C33" s="389"/>
      <c r="D33" s="389"/>
    </row>
    <row r="34" spans="1:4" x14ac:dyDescent="0.2">
      <c r="A34" s="388">
        <v>36778</v>
      </c>
      <c r="B34" s="389" t="s">
        <v>326</v>
      </c>
      <c r="C34" s="389" t="s">
        <v>323</v>
      </c>
      <c r="D34" s="389" t="s">
        <v>327</v>
      </c>
    </row>
    <row r="35" spans="1:4" x14ac:dyDescent="0.2">
      <c r="A35" s="390"/>
      <c r="B35" s="389"/>
      <c r="C35" s="389"/>
      <c r="D35" s="389"/>
    </row>
    <row r="36" spans="1:4" x14ac:dyDescent="0.2">
      <c r="A36" s="388">
        <v>36779</v>
      </c>
      <c r="B36" s="389" t="s">
        <v>328</v>
      </c>
      <c r="C36" s="389" t="s">
        <v>330</v>
      </c>
      <c r="D36" s="389" t="s">
        <v>329</v>
      </c>
    </row>
    <row r="37" spans="1:4" x14ac:dyDescent="0.2">
      <c r="A37" s="390"/>
      <c r="B37" s="389"/>
      <c r="C37" s="389"/>
      <c r="D37" s="389"/>
    </row>
    <row r="38" spans="1:4" x14ac:dyDescent="0.2">
      <c r="A38" s="388">
        <v>36779</v>
      </c>
      <c r="B38" s="389" t="s">
        <v>331</v>
      </c>
      <c r="C38" s="389" t="s">
        <v>330</v>
      </c>
      <c r="D38" s="389" t="s">
        <v>332</v>
      </c>
    </row>
    <row r="39" spans="1:4" x14ac:dyDescent="0.2">
      <c r="A39" s="390"/>
      <c r="B39" s="389"/>
      <c r="C39" s="389"/>
      <c r="D39" s="389"/>
    </row>
    <row r="40" spans="1:4" x14ac:dyDescent="0.2">
      <c r="A40" s="388">
        <v>36803</v>
      </c>
      <c r="B40" s="389" t="s">
        <v>333</v>
      </c>
      <c r="C40" s="389" t="s">
        <v>334</v>
      </c>
      <c r="D40" s="389" t="s">
        <v>335</v>
      </c>
    </row>
    <row r="41" spans="1:4" x14ac:dyDescent="0.2">
      <c r="A41" s="390"/>
      <c r="B41" s="389"/>
      <c r="C41" s="389"/>
      <c r="D41" s="389"/>
    </row>
    <row r="42" spans="1:4" x14ac:dyDescent="0.2">
      <c r="A42" s="388">
        <v>36839</v>
      </c>
      <c r="B42" s="389" t="s">
        <v>337</v>
      </c>
      <c r="C42" s="389"/>
      <c r="D42" s="389" t="s">
        <v>338</v>
      </c>
    </row>
    <row r="43" spans="1:4" x14ac:dyDescent="0.2">
      <c r="A43" s="390"/>
      <c r="B43" s="389"/>
      <c r="C43" s="389"/>
      <c r="D43" s="389"/>
    </row>
    <row r="44" spans="1:4" x14ac:dyDescent="0.2">
      <c r="A44" s="388">
        <v>36847</v>
      </c>
      <c r="B44" s="389" t="s">
        <v>339</v>
      </c>
      <c r="C44" s="389" t="s">
        <v>340</v>
      </c>
      <c r="D44" s="389" t="s">
        <v>341</v>
      </c>
    </row>
    <row r="45" spans="1:4" x14ac:dyDescent="0.2">
      <c r="A45" s="390"/>
      <c r="B45" s="389"/>
      <c r="C45" s="389"/>
      <c r="D45" s="389"/>
    </row>
    <row r="46" spans="1:4" x14ac:dyDescent="0.2">
      <c r="A46" s="388">
        <v>36886</v>
      </c>
      <c r="B46" s="389" t="s">
        <v>343</v>
      </c>
      <c r="C46" s="389" t="s">
        <v>344</v>
      </c>
      <c r="D46" s="389" t="s">
        <v>345</v>
      </c>
    </row>
    <row r="47" spans="1:4" x14ac:dyDescent="0.2">
      <c r="A47" s="390"/>
      <c r="B47" s="389"/>
      <c r="C47" s="389"/>
      <c r="D47" s="389"/>
    </row>
    <row r="48" spans="1:4" x14ac:dyDescent="0.2">
      <c r="A48" s="390"/>
      <c r="B48" s="389"/>
      <c r="C48" s="389"/>
      <c r="D48" s="389"/>
    </row>
    <row r="49" spans="1:4" x14ac:dyDescent="0.2">
      <c r="A49" s="390"/>
      <c r="B49" s="389"/>
      <c r="C49" s="389"/>
      <c r="D49" s="389"/>
    </row>
    <row r="50" spans="1:4" x14ac:dyDescent="0.2">
      <c r="A50" s="390"/>
      <c r="B50" s="389"/>
      <c r="C50" s="389"/>
      <c r="D50" s="389"/>
    </row>
    <row r="51" spans="1:4" x14ac:dyDescent="0.2">
      <c r="A51" s="390"/>
      <c r="B51" s="389"/>
      <c r="C51" s="389"/>
      <c r="D51" s="389"/>
    </row>
    <row r="52" spans="1:4" x14ac:dyDescent="0.2">
      <c r="A52" s="390"/>
      <c r="B52" s="389"/>
      <c r="C52" s="389"/>
      <c r="D52" s="389"/>
    </row>
    <row r="53" spans="1:4" x14ac:dyDescent="0.2">
      <c r="A53" s="390"/>
      <c r="B53" s="389"/>
      <c r="C53" s="389"/>
      <c r="D53" s="389"/>
    </row>
    <row r="54" spans="1:4" x14ac:dyDescent="0.2">
      <c r="A54" s="390"/>
      <c r="B54" s="389"/>
      <c r="C54" s="389"/>
      <c r="D54" s="389"/>
    </row>
    <row r="55" spans="1:4" x14ac:dyDescent="0.2">
      <c r="A55" s="390"/>
      <c r="B55" s="389"/>
      <c r="C55" s="389"/>
      <c r="D55" s="389"/>
    </row>
    <row r="56" spans="1:4" x14ac:dyDescent="0.2">
      <c r="A56" s="390"/>
      <c r="B56" s="389"/>
      <c r="C56" s="389"/>
      <c r="D56" s="389"/>
    </row>
    <row r="57" spans="1:4" x14ac:dyDescent="0.2">
      <c r="A57" s="390"/>
      <c r="B57" s="389"/>
      <c r="C57" s="389"/>
      <c r="D57" s="389"/>
    </row>
    <row r="58" spans="1:4" x14ac:dyDescent="0.2">
      <c r="A58" s="390"/>
      <c r="B58" s="389"/>
      <c r="C58" s="389"/>
      <c r="D58" s="389"/>
    </row>
    <row r="59" spans="1:4" x14ac:dyDescent="0.2">
      <c r="A59" s="390"/>
      <c r="B59" s="389"/>
      <c r="C59" s="389"/>
      <c r="D59" s="389"/>
    </row>
    <row r="60" spans="1:4" x14ac:dyDescent="0.2">
      <c r="A60" s="390"/>
      <c r="B60" s="389"/>
      <c r="C60" s="389"/>
      <c r="D60" s="389"/>
    </row>
    <row r="61" spans="1:4" x14ac:dyDescent="0.2">
      <c r="A61" s="390"/>
      <c r="B61" s="389"/>
      <c r="C61" s="389"/>
      <c r="D61" s="389"/>
    </row>
    <row r="62" spans="1:4" x14ac:dyDescent="0.2">
      <c r="A62" s="390"/>
      <c r="B62" s="389"/>
      <c r="C62" s="389"/>
      <c r="D62" s="389"/>
    </row>
    <row r="63" spans="1:4" x14ac:dyDescent="0.2">
      <c r="A63" s="390"/>
      <c r="B63" s="389"/>
      <c r="C63" s="389"/>
      <c r="D63" s="389"/>
    </row>
    <row r="64" spans="1:4" x14ac:dyDescent="0.2">
      <c r="A64" s="390"/>
      <c r="B64" s="389"/>
      <c r="C64" s="389"/>
      <c r="D64" s="389"/>
    </row>
    <row r="65" spans="1:4" x14ac:dyDescent="0.2">
      <c r="A65" s="390"/>
      <c r="B65" s="389"/>
      <c r="C65" s="389"/>
      <c r="D65" s="389"/>
    </row>
    <row r="66" spans="1:4" x14ac:dyDescent="0.2">
      <c r="A66" s="390"/>
      <c r="B66" s="389"/>
      <c r="C66" s="389"/>
      <c r="D66" s="389"/>
    </row>
    <row r="67" spans="1:4" x14ac:dyDescent="0.2">
      <c r="A67" s="390"/>
      <c r="B67" s="389"/>
      <c r="C67" s="389"/>
      <c r="D67" s="389"/>
    </row>
    <row r="68" spans="1:4" x14ac:dyDescent="0.2">
      <c r="A68" s="390"/>
      <c r="B68" s="389"/>
      <c r="C68" s="389"/>
      <c r="D68" s="389"/>
    </row>
    <row r="69" spans="1:4" x14ac:dyDescent="0.2">
      <c r="A69" s="390"/>
      <c r="B69" s="389"/>
      <c r="C69" s="389"/>
      <c r="D69" s="389"/>
    </row>
    <row r="70" spans="1:4" x14ac:dyDescent="0.2">
      <c r="A70" s="390"/>
      <c r="B70" s="389"/>
      <c r="C70" s="389"/>
      <c r="D70" s="389"/>
    </row>
    <row r="71" spans="1:4" x14ac:dyDescent="0.2">
      <c r="A71" s="390"/>
      <c r="B71" s="389"/>
      <c r="C71" s="389"/>
      <c r="D71" s="389"/>
    </row>
    <row r="72" spans="1:4" x14ac:dyDescent="0.2">
      <c r="A72" s="390"/>
      <c r="B72" s="389"/>
      <c r="C72" s="389"/>
      <c r="D72" s="389"/>
    </row>
    <row r="73" spans="1:4" x14ac:dyDescent="0.2">
      <c r="A73" s="390"/>
      <c r="B73" s="389"/>
      <c r="C73" s="389"/>
      <c r="D73" s="389"/>
    </row>
    <row r="74" spans="1:4" x14ac:dyDescent="0.2">
      <c r="A74" s="390"/>
      <c r="B74" s="389"/>
      <c r="C74" s="389"/>
      <c r="D74" s="389"/>
    </row>
    <row r="75" spans="1:4" x14ac:dyDescent="0.2">
      <c r="A75" s="390"/>
      <c r="B75" s="389"/>
      <c r="C75" s="389"/>
      <c r="D75" s="389"/>
    </row>
    <row r="76" spans="1:4" x14ac:dyDescent="0.2">
      <c r="A76" s="390"/>
      <c r="B76" s="389"/>
      <c r="C76" s="389"/>
      <c r="D76" s="389"/>
    </row>
    <row r="77" spans="1:4" x14ac:dyDescent="0.2">
      <c r="A77" s="390"/>
      <c r="B77" s="389"/>
      <c r="C77" s="389"/>
      <c r="D77" s="389"/>
    </row>
    <row r="78" spans="1:4" x14ac:dyDescent="0.2">
      <c r="A78" s="390"/>
      <c r="B78" s="389"/>
      <c r="C78" s="389"/>
      <c r="D78" s="389"/>
    </row>
    <row r="79" spans="1:4" x14ac:dyDescent="0.2">
      <c r="A79" s="390"/>
      <c r="B79" s="389"/>
      <c r="C79" s="389"/>
      <c r="D79" s="389"/>
    </row>
    <row r="80" spans="1:4" x14ac:dyDescent="0.2">
      <c r="A80" s="390"/>
      <c r="B80" s="389"/>
      <c r="C80" s="389"/>
      <c r="D80" s="389"/>
    </row>
    <row r="81" spans="1:4" x14ac:dyDescent="0.2">
      <c r="A81" s="390"/>
      <c r="B81" s="389"/>
      <c r="C81" s="389"/>
      <c r="D81" s="389"/>
    </row>
    <row r="82" spans="1:4" x14ac:dyDescent="0.2">
      <c r="A82" s="390"/>
      <c r="B82" s="389"/>
      <c r="C82" s="389"/>
      <c r="D82" s="389"/>
    </row>
    <row r="83" spans="1:4" x14ac:dyDescent="0.2">
      <c r="A83" s="390"/>
      <c r="B83" s="389"/>
      <c r="C83" s="389"/>
      <c r="D83" s="389"/>
    </row>
    <row r="84" spans="1:4" x14ac:dyDescent="0.2">
      <c r="A84" s="390"/>
      <c r="B84" s="389"/>
      <c r="C84" s="389"/>
      <c r="D84" s="389"/>
    </row>
    <row r="85" spans="1:4" x14ac:dyDescent="0.2">
      <c r="A85" s="390"/>
      <c r="B85" s="389"/>
      <c r="C85" s="389"/>
      <c r="D85" s="389"/>
    </row>
    <row r="86" spans="1:4" x14ac:dyDescent="0.2">
      <c r="A86" s="390"/>
      <c r="B86" s="389"/>
      <c r="C86" s="389"/>
      <c r="D86" s="389"/>
    </row>
    <row r="87" spans="1:4" x14ac:dyDescent="0.2">
      <c r="A87" s="390"/>
      <c r="B87" s="389"/>
      <c r="C87" s="389"/>
      <c r="D87" s="389"/>
    </row>
    <row r="88" spans="1:4" x14ac:dyDescent="0.2">
      <c r="A88" s="390"/>
      <c r="B88" s="389"/>
      <c r="C88" s="389"/>
      <c r="D88" s="389"/>
    </row>
    <row r="89" spans="1:4" x14ac:dyDescent="0.2">
      <c r="A89" s="390"/>
      <c r="B89" s="389"/>
      <c r="C89" s="389"/>
      <c r="D89" s="389"/>
    </row>
    <row r="90" spans="1:4" x14ac:dyDescent="0.2">
      <c r="A90" s="390"/>
      <c r="B90" s="389"/>
      <c r="C90" s="389"/>
      <c r="D90" s="389"/>
    </row>
    <row r="91" spans="1:4" x14ac:dyDescent="0.2">
      <c r="A91" s="390"/>
      <c r="B91" s="389"/>
      <c r="C91" s="389"/>
      <c r="D91" s="389"/>
    </row>
    <row r="92" spans="1:4" x14ac:dyDescent="0.2">
      <c r="A92" s="390"/>
      <c r="B92" s="389"/>
      <c r="C92" s="389"/>
      <c r="D92" s="389"/>
    </row>
    <row r="93" spans="1:4" x14ac:dyDescent="0.2">
      <c r="A93" s="390"/>
      <c r="B93" s="389"/>
      <c r="C93" s="389"/>
      <c r="D93" s="389"/>
    </row>
    <row r="94" spans="1:4" x14ac:dyDescent="0.2">
      <c r="A94" s="390"/>
      <c r="B94" s="389"/>
      <c r="C94" s="389"/>
      <c r="D94" s="389"/>
    </row>
    <row r="95" spans="1:4" x14ac:dyDescent="0.2">
      <c r="A95" s="390"/>
      <c r="B95" s="389"/>
      <c r="C95" s="389"/>
      <c r="D95" s="389"/>
    </row>
    <row r="96" spans="1:4" x14ac:dyDescent="0.2">
      <c r="A96" s="390"/>
      <c r="B96" s="389"/>
      <c r="C96" s="389"/>
      <c r="D96" s="389"/>
    </row>
    <row r="97" spans="1:4" x14ac:dyDescent="0.2">
      <c r="A97" s="390"/>
      <c r="B97" s="389"/>
      <c r="C97" s="389"/>
      <c r="D97" s="389"/>
    </row>
    <row r="98" spans="1:4" x14ac:dyDescent="0.2">
      <c r="A98" s="390"/>
      <c r="B98" s="389"/>
      <c r="C98" s="389"/>
      <c r="D98" s="389"/>
    </row>
    <row r="99" spans="1:4" x14ac:dyDescent="0.2">
      <c r="A99" s="390"/>
      <c r="B99" s="389"/>
      <c r="C99" s="389"/>
      <c r="D99" s="389"/>
    </row>
    <row r="100" spans="1:4" x14ac:dyDescent="0.2">
      <c r="A100" s="390"/>
      <c r="B100" s="389"/>
      <c r="C100" s="389"/>
      <c r="D100" s="389"/>
    </row>
    <row r="101" spans="1:4" x14ac:dyDescent="0.2">
      <c r="A101" s="390"/>
      <c r="B101" s="389"/>
      <c r="C101" s="389"/>
      <c r="D101" s="389"/>
    </row>
    <row r="102" spans="1:4" x14ac:dyDescent="0.2">
      <c r="A102" s="390"/>
      <c r="B102" s="389"/>
      <c r="C102" s="389"/>
      <c r="D102" s="389"/>
    </row>
    <row r="103" spans="1:4" x14ac:dyDescent="0.2">
      <c r="A103" s="390"/>
      <c r="B103" s="389"/>
      <c r="C103" s="389"/>
      <c r="D103" s="389"/>
    </row>
    <row r="104" spans="1:4" x14ac:dyDescent="0.2">
      <c r="A104" s="390"/>
      <c r="B104" s="389"/>
      <c r="C104" s="389"/>
      <c r="D104" s="389"/>
    </row>
    <row r="105" spans="1:4" x14ac:dyDescent="0.2">
      <c r="A105" s="390"/>
      <c r="B105" s="389"/>
      <c r="C105" s="389"/>
      <c r="D105" s="389"/>
    </row>
    <row r="106" spans="1:4" x14ac:dyDescent="0.2">
      <c r="A106" s="390"/>
      <c r="B106" s="389"/>
      <c r="C106" s="389"/>
      <c r="D106" s="389"/>
    </row>
    <row r="107" spans="1:4" x14ac:dyDescent="0.2">
      <c r="A107" s="390"/>
      <c r="B107" s="389"/>
      <c r="C107" s="389"/>
      <c r="D107" s="389"/>
    </row>
    <row r="108" spans="1:4" x14ac:dyDescent="0.2">
      <c r="A108" s="390"/>
      <c r="B108" s="389"/>
      <c r="C108" s="389"/>
      <c r="D108" s="389"/>
    </row>
    <row r="109" spans="1:4" x14ac:dyDescent="0.2">
      <c r="A109" s="390"/>
      <c r="B109" s="389"/>
      <c r="C109" s="389"/>
      <c r="D109" s="389"/>
    </row>
    <row r="110" spans="1:4" x14ac:dyDescent="0.2">
      <c r="A110" s="390"/>
      <c r="B110" s="389"/>
      <c r="C110" s="389"/>
      <c r="D110" s="389"/>
    </row>
    <row r="111" spans="1:4" x14ac:dyDescent="0.2">
      <c r="A111" s="390"/>
      <c r="B111" s="389"/>
      <c r="C111" s="389"/>
      <c r="D111" s="389"/>
    </row>
    <row r="112" spans="1:4" x14ac:dyDescent="0.2">
      <c r="A112" s="390"/>
      <c r="B112" s="389"/>
      <c r="C112" s="389"/>
      <c r="D112" s="389"/>
    </row>
    <row r="113" spans="1:4" x14ac:dyDescent="0.2">
      <c r="A113" s="390"/>
      <c r="B113" s="389"/>
      <c r="C113" s="389"/>
      <c r="D113" s="389"/>
    </row>
    <row r="114" spans="1:4" x14ac:dyDescent="0.2">
      <c r="A114" s="390"/>
      <c r="B114" s="389"/>
      <c r="C114" s="389"/>
      <c r="D114" s="389"/>
    </row>
    <row r="115" spans="1:4" x14ac:dyDescent="0.2">
      <c r="A115" s="390"/>
      <c r="B115" s="389"/>
      <c r="C115" s="389"/>
      <c r="D115" s="389"/>
    </row>
    <row r="116" spans="1:4" x14ac:dyDescent="0.2">
      <c r="A116" s="390"/>
      <c r="B116" s="389"/>
      <c r="C116" s="389"/>
      <c r="D116" s="389"/>
    </row>
    <row r="117" spans="1:4" x14ac:dyDescent="0.2">
      <c r="A117" s="390"/>
      <c r="B117" s="389"/>
      <c r="C117" s="389"/>
      <c r="D117" s="389"/>
    </row>
    <row r="118" spans="1:4" x14ac:dyDescent="0.2">
      <c r="A118" s="390"/>
      <c r="B118" s="389"/>
      <c r="C118" s="389"/>
      <c r="D118" s="389"/>
    </row>
    <row r="119" spans="1:4" x14ac:dyDescent="0.2">
      <c r="A119" s="390"/>
      <c r="B119" s="389"/>
      <c r="C119" s="389"/>
      <c r="D119" s="389"/>
    </row>
    <row r="120" spans="1:4" x14ac:dyDescent="0.2">
      <c r="A120" s="390"/>
      <c r="B120" s="389"/>
      <c r="C120" s="389"/>
      <c r="D120" s="389"/>
    </row>
    <row r="121" spans="1:4" x14ac:dyDescent="0.2">
      <c r="A121" s="390"/>
      <c r="B121" s="389"/>
      <c r="C121" s="389"/>
      <c r="D121" s="389"/>
    </row>
    <row r="122" spans="1:4" x14ac:dyDescent="0.2">
      <c r="A122" s="390"/>
      <c r="B122" s="389"/>
      <c r="C122" s="389"/>
      <c r="D122" s="389"/>
    </row>
    <row r="123" spans="1:4" x14ac:dyDescent="0.2">
      <c r="A123" s="390"/>
      <c r="B123" s="389"/>
      <c r="C123" s="389"/>
      <c r="D123" s="389"/>
    </row>
    <row r="124" spans="1:4" x14ac:dyDescent="0.2">
      <c r="A124" s="390"/>
      <c r="B124" s="389"/>
      <c r="C124" s="389"/>
      <c r="D124" s="389"/>
    </row>
    <row r="125" spans="1:4" x14ac:dyDescent="0.2">
      <c r="A125" s="390"/>
      <c r="B125" s="389"/>
      <c r="C125" s="389"/>
      <c r="D125" s="389"/>
    </row>
    <row r="126" spans="1:4" x14ac:dyDescent="0.2">
      <c r="A126" s="390"/>
      <c r="B126" s="389"/>
      <c r="C126" s="389"/>
      <c r="D126" s="389"/>
    </row>
    <row r="127" spans="1:4" x14ac:dyDescent="0.2">
      <c r="A127" s="390"/>
      <c r="B127" s="389"/>
      <c r="C127" s="389"/>
      <c r="D127" s="389"/>
    </row>
    <row r="128" spans="1:4" x14ac:dyDescent="0.2">
      <c r="A128" s="390"/>
      <c r="B128" s="389"/>
      <c r="C128" s="389"/>
      <c r="D128" s="389"/>
    </row>
    <row r="129" spans="1:4" x14ac:dyDescent="0.2">
      <c r="A129" s="390"/>
      <c r="B129" s="389"/>
      <c r="C129" s="389"/>
      <c r="D129" s="389"/>
    </row>
    <row r="130" spans="1:4" x14ac:dyDescent="0.2">
      <c r="A130" s="390"/>
      <c r="B130" s="389"/>
      <c r="C130" s="389"/>
      <c r="D130" s="389"/>
    </row>
    <row r="131" spans="1:4" x14ac:dyDescent="0.2">
      <c r="A131" s="390"/>
      <c r="B131" s="389"/>
      <c r="C131" s="389"/>
      <c r="D131" s="389"/>
    </row>
    <row r="132" spans="1:4" x14ac:dyDescent="0.2">
      <c r="A132" s="390"/>
      <c r="B132" s="389"/>
      <c r="C132" s="389"/>
      <c r="D132" s="389"/>
    </row>
    <row r="133" spans="1:4" x14ac:dyDescent="0.2">
      <c r="A133" s="390"/>
      <c r="B133" s="389"/>
      <c r="C133" s="389"/>
      <c r="D133" s="389"/>
    </row>
    <row r="134" spans="1:4" x14ac:dyDescent="0.2">
      <c r="A134" s="390"/>
      <c r="B134" s="389"/>
      <c r="C134" s="389"/>
      <c r="D134" s="389"/>
    </row>
    <row r="135" spans="1:4" x14ac:dyDescent="0.2">
      <c r="A135" s="390"/>
      <c r="B135" s="389"/>
      <c r="C135" s="389"/>
      <c r="D135" s="389"/>
    </row>
    <row r="136" spans="1:4" x14ac:dyDescent="0.2">
      <c r="A136" s="390"/>
      <c r="B136" s="389"/>
      <c r="C136" s="389"/>
      <c r="D136" s="389"/>
    </row>
    <row r="137" spans="1:4" x14ac:dyDescent="0.2">
      <c r="A137" s="390"/>
      <c r="B137" s="389"/>
      <c r="C137" s="389"/>
      <c r="D137" s="389"/>
    </row>
    <row r="138" spans="1:4" x14ac:dyDescent="0.2">
      <c r="A138" s="390"/>
      <c r="B138" s="389"/>
      <c r="C138" s="389"/>
      <c r="D138" s="389"/>
    </row>
    <row r="139" spans="1:4" x14ac:dyDescent="0.2">
      <c r="A139" s="390"/>
      <c r="B139" s="389"/>
      <c r="C139" s="389"/>
      <c r="D139" s="389"/>
    </row>
    <row r="140" spans="1:4" x14ac:dyDescent="0.2">
      <c r="A140" s="390"/>
      <c r="B140" s="389"/>
      <c r="C140" s="389"/>
      <c r="D140" s="389"/>
    </row>
    <row r="141" spans="1:4" x14ac:dyDescent="0.2">
      <c r="A141" s="390"/>
      <c r="B141" s="389"/>
      <c r="C141" s="389"/>
      <c r="D141" s="389"/>
    </row>
    <row r="142" spans="1:4" x14ac:dyDescent="0.2">
      <c r="A142" s="390"/>
      <c r="B142" s="389"/>
      <c r="C142" s="389"/>
      <c r="D142" s="389"/>
    </row>
    <row r="143" spans="1:4" x14ac:dyDescent="0.2">
      <c r="A143" s="390"/>
      <c r="B143" s="389"/>
      <c r="C143" s="389"/>
      <c r="D143" s="389"/>
    </row>
    <row r="144" spans="1:4" x14ac:dyDescent="0.2">
      <c r="A144" s="390"/>
      <c r="B144" s="389"/>
      <c r="C144" s="389"/>
      <c r="D144" s="389"/>
    </row>
    <row r="145" spans="1:4" x14ac:dyDescent="0.2">
      <c r="A145" s="390"/>
      <c r="B145" s="389"/>
      <c r="C145" s="389"/>
      <c r="D145" s="389"/>
    </row>
    <row r="146" spans="1:4" x14ac:dyDescent="0.2">
      <c r="A146" s="390"/>
      <c r="B146" s="389"/>
      <c r="C146" s="389"/>
      <c r="D146" s="389"/>
    </row>
    <row r="147" spans="1:4" x14ac:dyDescent="0.2">
      <c r="A147" s="390"/>
      <c r="B147" s="389"/>
      <c r="C147" s="389"/>
      <c r="D147" s="389"/>
    </row>
    <row r="148" spans="1:4" x14ac:dyDescent="0.2">
      <c r="A148" s="390"/>
      <c r="B148" s="389"/>
      <c r="C148" s="389"/>
      <c r="D148" s="389"/>
    </row>
    <row r="149" spans="1:4" x14ac:dyDescent="0.2">
      <c r="A149" s="390"/>
      <c r="B149" s="389"/>
      <c r="C149" s="389"/>
      <c r="D149" s="389"/>
    </row>
    <row r="150" spans="1:4" x14ac:dyDescent="0.2">
      <c r="A150" s="390"/>
      <c r="B150" s="389"/>
      <c r="C150" s="389"/>
      <c r="D150" s="389"/>
    </row>
    <row r="151" spans="1:4" x14ac:dyDescent="0.2">
      <c r="A151" s="390"/>
      <c r="B151" s="389"/>
      <c r="C151" s="389"/>
      <c r="D151" s="389"/>
    </row>
    <row r="152" spans="1:4" x14ac:dyDescent="0.2">
      <c r="A152" s="390"/>
      <c r="B152" s="389"/>
      <c r="C152" s="389"/>
      <c r="D152" s="389"/>
    </row>
    <row r="153" spans="1:4" x14ac:dyDescent="0.2">
      <c r="A153" s="390"/>
      <c r="B153" s="389"/>
      <c r="C153" s="389"/>
      <c r="D153" s="389"/>
    </row>
    <row r="154" spans="1:4" x14ac:dyDescent="0.2">
      <c r="A154" s="390"/>
      <c r="B154" s="389"/>
      <c r="C154" s="389"/>
      <c r="D154" s="389"/>
    </row>
    <row r="155" spans="1:4" x14ac:dyDescent="0.2">
      <c r="A155" s="390"/>
      <c r="B155" s="389"/>
      <c r="C155" s="389"/>
      <c r="D155" s="389"/>
    </row>
    <row r="156" spans="1:4" x14ac:dyDescent="0.2">
      <c r="A156" s="390"/>
      <c r="B156" s="389"/>
      <c r="C156" s="389"/>
      <c r="D156" s="389"/>
    </row>
    <row r="157" spans="1:4" x14ac:dyDescent="0.2">
      <c r="A157" s="390"/>
      <c r="B157" s="389"/>
      <c r="C157" s="389"/>
      <c r="D157" s="389"/>
    </row>
    <row r="158" spans="1:4" x14ac:dyDescent="0.2">
      <c r="A158" s="390"/>
      <c r="B158" s="389"/>
      <c r="C158" s="389"/>
      <c r="D158" s="389"/>
    </row>
    <row r="159" spans="1:4" x14ac:dyDescent="0.2">
      <c r="A159" s="390"/>
      <c r="B159" s="389"/>
      <c r="C159" s="389"/>
      <c r="D159" s="389"/>
    </row>
    <row r="160" spans="1:4" x14ac:dyDescent="0.2">
      <c r="A160" s="390"/>
      <c r="B160" s="389"/>
      <c r="C160" s="389"/>
      <c r="D160" s="389"/>
    </row>
    <row r="161" spans="1:4" x14ac:dyDescent="0.2">
      <c r="A161" s="390"/>
      <c r="B161" s="389"/>
      <c r="C161" s="389"/>
      <c r="D161" s="389"/>
    </row>
    <row r="162" spans="1:4" x14ac:dyDescent="0.2">
      <c r="A162" s="390"/>
      <c r="B162" s="389"/>
      <c r="C162" s="389"/>
      <c r="D162" s="389"/>
    </row>
    <row r="163" spans="1:4" x14ac:dyDescent="0.2">
      <c r="A163" s="390"/>
      <c r="B163" s="389"/>
      <c r="C163" s="389"/>
      <c r="D163" s="389"/>
    </row>
    <row r="164" spans="1:4" x14ac:dyDescent="0.2">
      <c r="A164" s="390"/>
      <c r="B164" s="389"/>
      <c r="C164" s="389"/>
      <c r="D164" s="389"/>
    </row>
    <row r="165" spans="1:4" x14ac:dyDescent="0.2">
      <c r="A165" s="390"/>
      <c r="B165" s="389"/>
      <c r="C165" s="389"/>
      <c r="D165" s="389"/>
    </row>
    <row r="166" spans="1:4" x14ac:dyDescent="0.2">
      <c r="A166" s="390"/>
      <c r="B166" s="389"/>
      <c r="C166" s="389"/>
      <c r="D166" s="389"/>
    </row>
    <row r="167" spans="1:4" x14ac:dyDescent="0.2">
      <c r="A167" s="390"/>
      <c r="B167" s="389"/>
      <c r="C167" s="389"/>
      <c r="D167" s="389"/>
    </row>
    <row r="168" spans="1:4" x14ac:dyDescent="0.2">
      <c r="A168" s="390"/>
      <c r="B168" s="389"/>
      <c r="C168" s="389"/>
      <c r="D168" s="389"/>
    </row>
    <row r="169" spans="1:4" x14ac:dyDescent="0.2">
      <c r="A169" s="390"/>
      <c r="B169" s="389"/>
      <c r="C169" s="389"/>
      <c r="D169" s="389"/>
    </row>
    <row r="170" spans="1:4" x14ac:dyDescent="0.2">
      <c r="A170" s="390"/>
      <c r="B170" s="389"/>
      <c r="C170" s="389"/>
      <c r="D170" s="389"/>
    </row>
    <row r="171" spans="1:4" x14ac:dyDescent="0.2">
      <c r="A171" s="390"/>
      <c r="B171" s="389"/>
      <c r="C171" s="389"/>
      <c r="D171" s="389"/>
    </row>
    <row r="172" spans="1:4" x14ac:dyDescent="0.2">
      <c r="A172" s="390"/>
      <c r="B172" s="389"/>
      <c r="C172" s="389"/>
      <c r="D172" s="389"/>
    </row>
    <row r="173" spans="1:4" x14ac:dyDescent="0.2">
      <c r="A173" s="390"/>
      <c r="B173" s="389"/>
      <c r="C173" s="389"/>
      <c r="D173" s="389"/>
    </row>
    <row r="174" spans="1:4" x14ac:dyDescent="0.2">
      <c r="A174" s="390"/>
      <c r="B174" s="389"/>
      <c r="C174" s="389"/>
      <c r="D174" s="389"/>
    </row>
    <row r="175" spans="1:4" x14ac:dyDescent="0.2">
      <c r="A175" s="390"/>
      <c r="B175" s="389"/>
      <c r="C175" s="389"/>
      <c r="D175" s="389"/>
    </row>
    <row r="176" spans="1:4" x14ac:dyDescent="0.2">
      <c r="A176" s="390"/>
      <c r="B176" s="389"/>
      <c r="C176" s="389"/>
      <c r="D176" s="389"/>
    </row>
    <row r="177" spans="1:4" x14ac:dyDescent="0.2">
      <c r="A177" s="390"/>
      <c r="B177" s="389"/>
      <c r="C177" s="389"/>
      <c r="D177" s="389"/>
    </row>
    <row r="178" spans="1:4" x14ac:dyDescent="0.2">
      <c r="A178" s="390"/>
      <c r="B178" s="389"/>
      <c r="C178" s="389"/>
      <c r="D178" s="389"/>
    </row>
    <row r="179" spans="1:4" x14ac:dyDescent="0.2">
      <c r="A179" s="390"/>
      <c r="B179" s="389"/>
      <c r="C179" s="389"/>
      <c r="D179" s="389"/>
    </row>
    <row r="180" spans="1:4" x14ac:dyDescent="0.2">
      <c r="A180" s="390"/>
      <c r="B180" s="389"/>
      <c r="C180" s="389"/>
      <c r="D180" s="389"/>
    </row>
    <row r="181" spans="1:4" x14ac:dyDescent="0.2">
      <c r="A181" s="390"/>
      <c r="B181" s="389"/>
      <c r="C181" s="389"/>
      <c r="D181" s="389"/>
    </row>
    <row r="182" spans="1:4" x14ac:dyDescent="0.2">
      <c r="A182" s="390"/>
      <c r="B182" s="389"/>
      <c r="C182" s="389"/>
      <c r="D182" s="389"/>
    </row>
    <row r="183" spans="1:4" x14ac:dyDescent="0.2">
      <c r="A183" s="390"/>
      <c r="B183" s="389"/>
      <c r="C183" s="389"/>
      <c r="D183" s="389"/>
    </row>
    <row r="184" spans="1:4" x14ac:dyDescent="0.2">
      <c r="A184" s="390"/>
      <c r="B184" s="389"/>
      <c r="C184" s="389"/>
      <c r="D184" s="389"/>
    </row>
    <row r="185" spans="1:4" x14ac:dyDescent="0.2">
      <c r="A185" s="390"/>
      <c r="B185" s="389"/>
      <c r="C185" s="389"/>
      <c r="D185" s="389"/>
    </row>
    <row r="186" spans="1:4" x14ac:dyDescent="0.2">
      <c r="A186" s="390"/>
      <c r="B186" s="389"/>
      <c r="C186" s="389"/>
      <c r="D186" s="389"/>
    </row>
    <row r="187" spans="1:4" x14ac:dyDescent="0.2">
      <c r="A187" s="390"/>
      <c r="B187" s="389"/>
      <c r="C187" s="389"/>
      <c r="D187" s="389"/>
    </row>
    <row r="188" spans="1:4" x14ac:dyDescent="0.2">
      <c r="A188" s="390"/>
      <c r="B188" s="389"/>
      <c r="C188" s="389"/>
      <c r="D188" s="389"/>
    </row>
    <row r="189" spans="1:4" x14ac:dyDescent="0.2">
      <c r="A189" s="390"/>
      <c r="B189" s="389"/>
      <c r="C189" s="389"/>
      <c r="D189" s="389"/>
    </row>
    <row r="190" spans="1:4" x14ac:dyDescent="0.2">
      <c r="A190" s="390"/>
      <c r="B190" s="389"/>
      <c r="C190" s="389"/>
      <c r="D190" s="389"/>
    </row>
    <row r="191" spans="1:4" x14ac:dyDescent="0.2">
      <c r="A191" s="390"/>
      <c r="B191" s="389"/>
      <c r="C191" s="389"/>
      <c r="D191" s="389"/>
    </row>
    <row r="192" spans="1:4" x14ac:dyDescent="0.2">
      <c r="A192" s="390"/>
      <c r="B192" s="389"/>
      <c r="C192" s="389"/>
      <c r="D192" s="389"/>
    </row>
    <row r="193" spans="1:4" x14ac:dyDescent="0.2">
      <c r="A193" s="390"/>
      <c r="B193" s="389"/>
      <c r="C193" s="389"/>
      <c r="D193" s="389"/>
    </row>
    <row r="194" spans="1:4" x14ac:dyDescent="0.2">
      <c r="A194" s="390"/>
      <c r="B194" s="389"/>
      <c r="C194" s="389"/>
      <c r="D194" s="389"/>
    </row>
    <row r="195" spans="1:4" x14ac:dyDescent="0.2">
      <c r="A195" s="390"/>
      <c r="B195" s="389"/>
      <c r="C195" s="389"/>
      <c r="D195" s="389"/>
    </row>
    <row r="196" spans="1:4" x14ac:dyDescent="0.2">
      <c r="A196" s="390"/>
      <c r="B196" s="389"/>
      <c r="C196" s="389"/>
      <c r="D196" s="389"/>
    </row>
    <row r="197" spans="1:4" x14ac:dyDescent="0.2">
      <c r="A197" s="390"/>
      <c r="B197" s="389"/>
      <c r="C197" s="389"/>
      <c r="D197" s="389"/>
    </row>
    <row r="198" spans="1:4" x14ac:dyDescent="0.2">
      <c r="A198" s="390"/>
      <c r="B198" s="389"/>
      <c r="C198" s="389"/>
      <c r="D198" s="389"/>
    </row>
    <row r="199" spans="1:4" x14ac:dyDescent="0.2">
      <c r="A199" s="390"/>
      <c r="B199" s="389"/>
      <c r="C199" s="389"/>
      <c r="D199" s="389"/>
    </row>
    <row r="200" spans="1:4" x14ac:dyDescent="0.2">
      <c r="A200" s="390"/>
      <c r="B200" s="389"/>
      <c r="C200" s="389"/>
      <c r="D200" s="389"/>
    </row>
    <row r="201" spans="1:4" x14ac:dyDescent="0.2">
      <c r="A201" s="390"/>
      <c r="B201" s="389"/>
      <c r="C201" s="389"/>
      <c r="D201" s="389"/>
    </row>
    <row r="202" spans="1:4" x14ac:dyDescent="0.2">
      <c r="A202" s="390"/>
      <c r="B202" s="389"/>
      <c r="C202" s="389"/>
      <c r="D202" s="389"/>
    </row>
    <row r="203" spans="1:4" x14ac:dyDescent="0.2">
      <c r="A203" s="390"/>
      <c r="B203" s="389"/>
      <c r="C203" s="389"/>
      <c r="D203" s="389"/>
    </row>
    <row r="204" spans="1:4" x14ac:dyDescent="0.2">
      <c r="A204" s="390"/>
      <c r="B204" s="389"/>
      <c r="C204" s="389"/>
      <c r="D204" s="389"/>
    </row>
    <row r="205" spans="1:4" x14ac:dyDescent="0.2">
      <c r="A205" s="390"/>
      <c r="B205" s="389"/>
      <c r="C205" s="389"/>
      <c r="D205" s="389"/>
    </row>
    <row r="206" spans="1:4" x14ac:dyDescent="0.2">
      <c r="A206" s="390"/>
      <c r="B206" s="389"/>
      <c r="C206" s="389"/>
      <c r="D206" s="389"/>
    </row>
    <row r="207" spans="1:4" x14ac:dyDescent="0.2">
      <c r="A207" s="390"/>
      <c r="B207" s="389"/>
      <c r="C207" s="389"/>
      <c r="D207" s="389"/>
    </row>
    <row r="208" spans="1:4" x14ac:dyDescent="0.2">
      <c r="A208" s="390"/>
      <c r="B208" s="389"/>
      <c r="C208" s="389"/>
      <c r="D208" s="389"/>
    </row>
    <row r="209" spans="1:4" x14ac:dyDescent="0.2">
      <c r="A209" s="390"/>
      <c r="B209" s="389"/>
      <c r="C209" s="389"/>
      <c r="D209" s="389"/>
    </row>
    <row r="210" spans="1:4" x14ac:dyDescent="0.2">
      <c r="A210" s="390"/>
      <c r="B210" s="389"/>
      <c r="C210" s="389"/>
      <c r="D210" s="389"/>
    </row>
    <row r="211" spans="1:4" x14ac:dyDescent="0.2">
      <c r="A211" s="390"/>
      <c r="B211" s="389"/>
      <c r="C211" s="389"/>
      <c r="D211" s="389"/>
    </row>
    <row r="212" spans="1:4" x14ac:dyDescent="0.2">
      <c r="A212" s="390"/>
      <c r="B212" s="389"/>
      <c r="C212" s="389"/>
      <c r="D212" s="389"/>
    </row>
    <row r="213" spans="1:4" x14ac:dyDescent="0.2">
      <c r="A213" s="390"/>
      <c r="B213" s="389"/>
      <c r="C213" s="389"/>
      <c r="D213" s="389"/>
    </row>
    <row r="214" spans="1:4" x14ac:dyDescent="0.2">
      <c r="A214" s="390"/>
      <c r="B214" s="389"/>
      <c r="C214" s="389"/>
      <c r="D214" s="389"/>
    </row>
    <row r="215" spans="1:4" x14ac:dyDescent="0.2">
      <c r="A215" s="390"/>
      <c r="B215" s="389"/>
      <c r="C215" s="389"/>
      <c r="D215" s="389"/>
    </row>
    <row r="216" spans="1:4" x14ac:dyDescent="0.2">
      <c r="A216" s="390"/>
      <c r="B216" s="389"/>
      <c r="C216" s="389"/>
      <c r="D216" s="389"/>
    </row>
    <row r="217" spans="1:4" x14ac:dyDescent="0.2">
      <c r="A217" s="390"/>
      <c r="B217" s="389"/>
      <c r="C217" s="389"/>
      <c r="D217" s="389"/>
    </row>
    <row r="218" spans="1:4" x14ac:dyDescent="0.2">
      <c r="A218" s="390"/>
      <c r="B218" s="389"/>
      <c r="C218" s="389"/>
      <c r="D218" s="389"/>
    </row>
    <row r="219" spans="1:4" x14ac:dyDescent="0.2">
      <c r="A219" s="390"/>
      <c r="B219" s="389"/>
      <c r="C219" s="389"/>
      <c r="D219" s="389"/>
    </row>
    <row r="220" spans="1:4" x14ac:dyDescent="0.2">
      <c r="A220" s="390"/>
      <c r="B220" s="389"/>
      <c r="C220" s="389"/>
      <c r="D220" s="389"/>
    </row>
    <row r="221" spans="1:4" x14ac:dyDescent="0.2">
      <c r="A221" s="390"/>
      <c r="B221" s="389"/>
      <c r="C221" s="389"/>
      <c r="D221" s="389"/>
    </row>
    <row r="222" spans="1:4" x14ac:dyDescent="0.2">
      <c r="A222" s="390"/>
      <c r="B222" s="389"/>
      <c r="C222" s="389"/>
      <c r="D222" s="389"/>
    </row>
    <row r="223" spans="1:4" x14ac:dyDescent="0.2">
      <c r="A223" s="390"/>
      <c r="B223" s="389"/>
      <c r="C223" s="389"/>
      <c r="D223" s="389"/>
    </row>
    <row r="224" spans="1:4" x14ac:dyDescent="0.2">
      <c r="A224" s="390"/>
      <c r="B224" s="389"/>
      <c r="C224" s="389"/>
      <c r="D224" s="389"/>
    </row>
    <row r="225" spans="1:4" x14ac:dyDescent="0.2">
      <c r="A225" s="390"/>
      <c r="B225" s="389"/>
      <c r="C225" s="389"/>
      <c r="D225" s="389"/>
    </row>
    <row r="226" spans="1:4" x14ac:dyDescent="0.2">
      <c r="A226" s="390"/>
      <c r="B226" s="389"/>
      <c r="C226" s="389"/>
      <c r="D226" s="389"/>
    </row>
    <row r="227" spans="1:4" x14ac:dyDescent="0.2">
      <c r="A227" s="390"/>
      <c r="B227" s="389"/>
      <c r="C227" s="389"/>
      <c r="D227" s="389"/>
    </row>
    <row r="228" spans="1:4" x14ac:dyDescent="0.2">
      <c r="A228" s="390"/>
      <c r="B228" s="389"/>
      <c r="C228" s="389"/>
      <c r="D228" s="389"/>
    </row>
    <row r="229" spans="1:4" x14ac:dyDescent="0.2">
      <c r="A229" s="390"/>
      <c r="B229" s="389"/>
      <c r="C229" s="389"/>
      <c r="D229" s="389"/>
    </row>
    <row r="230" spans="1:4" x14ac:dyDescent="0.2">
      <c r="A230" s="390"/>
      <c r="B230" s="389"/>
      <c r="C230" s="389"/>
      <c r="D230" s="389"/>
    </row>
    <row r="231" spans="1:4" x14ac:dyDescent="0.2">
      <c r="A231" s="390"/>
      <c r="B231" s="389"/>
      <c r="C231" s="389"/>
      <c r="D231" s="389"/>
    </row>
    <row r="232" spans="1:4" x14ac:dyDescent="0.2">
      <c r="A232" s="390"/>
      <c r="B232" s="389"/>
      <c r="C232" s="389"/>
      <c r="D232" s="389"/>
    </row>
    <row r="233" spans="1:4" x14ac:dyDescent="0.2">
      <c r="A233" s="390"/>
      <c r="B233" s="389"/>
      <c r="C233" s="389"/>
      <c r="D233" s="389"/>
    </row>
    <row r="234" spans="1:4" x14ac:dyDescent="0.2">
      <c r="A234" s="390"/>
      <c r="B234" s="389"/>
      <c r="C234" s="389"/>
      <c r="D234" s="389"/>
    </row>
    <row r="235" spans="1:4" x14ac:dyDescent="0.2">
      <c r="A235" s="390"/>
      <c r="B235" s="389"/>
      <c r="C235" s="389"/>
      <c r="D235" s="389"/>
    </row>
    <row r="236" spans="1:4" x14ac:dyDescent="0.2">
      <c r="A236" s="390"/>
      <c r="B236" s="389"/>
      <c r="C236" s="389"/>
      <c r="D236" s="389"/>
    </row>
    <row r="237" spans="1:4" x14ac:dyDescent="0.2">
      <c r="A237" s="390"/>
      <c r="B237" s="389"/>
      <c r="C237" s="389"/>
      <c r="D237" s="389"/>
    </row>
    <row r="238" spans="1:4" x14ac:dyDescent="0.2">
      <c r="A238" s="390"/>
      <c r="B238" s="389"/>
      <c r="C238" s="389"/>
      <c r="D238" s="389"/>
    </row>
    <row r="239" spans="1:4" x14ac:dyDescent="0.2">
      <c r="A239" s="390"/>
      <c r="B239" s="389"/>
      <c r="C239" s="389"/>
      <c r="D239" s="389"/>
    </row>
    <row r="240" spans="1:4" x14ac:dyDescent="0.2">
      <c r="A240" s="390"/>
      <c r="B240" s="389"/>
      <c r="C240" s="389"/>
      <c r="D240" s="389"/>
    </row>
    <row r="241" spans="1:4" x14ac:dyDescent="0.2">
      <c r="A241" s="390"/>
      <c r="B241" s="389"/>
      <c r="C241" s="389"/>
      <c r="D241" s="389"/>
    </row>
    <row r="242" spans="1:4" x14ac:dyDescent="0.2">
      <c r="A242" s="390"/>
      <c r="B242" s="389"/>
      <c r="C242" s="389"/>
      <c r="D242" s="389"/>
    </row>
    <row r="243" spans="1:4" x14ac:dyDescent="0.2">
      <c r="A243" s="390"/>
      <c r="B243" s="389"/>
      <c r="C243" s="389"/>
      <c r="D243" s="389"/>
    </row>
    <row r="244" spans="1:4" x14ac:dyDescent="0.2">
      <c r="A244" s="390"/>
      <c r="B244" s="389"/>
      <c r="C244" s="389"/>
      <c r="D244" s="389"/>
    </row>
    <row r="245" spans="1:4" x14ac:dyDescent="0.2">
      <c r="A245" s="390"/>
      <c r="B245" s="389"/>
      <c r="C245" s="389"/>
      <c r="D245" s="389"/>
    </row>
    <row r="246" spans="1:4" x14ac:dyDescent="0.2">
      <c r="A246" s="390"/>
      <c r="B246" s="389"/>
      <c r="C246" s="389"/>
      <c r="D246" s="389"/>
    </row>
    <row r="247" spans="1:4" x14ac:dyDescent="0.2">
      <c r="A247" s="390"/>
      <c r="B247" s="389"/>
      <c r="C247" s="389"/>
      <c r="D247" s="389"/>
    </row>
    <row r="248" spans="1:4" x14ac:dyDescent="0.2">
      <c r="A248" s="390"/>
      <c r="B248" s="389"/>
      <c r="C248" s="389"/>
      <c r="D248" s="389"/>
    </row>
    <row r="249" spans="1:4" x14ac:dyDescent="0.2">
      <c r="A249" s="390"/>
      <c r="B249" s="389"/>
      <c r="C249" s="389"/>
      <c r="D249" s="389"/>
    </row>
    <row r="250" spans="1:4" x14ac:dyDescent="0.2">
      <c r="A250" s="390"/>
      <c r="B250" s="389"/>
      <c r="C250" s="389"/>
      <c r="D250" s="389"/>
    </row>
    <row r="251" spans="1:4" x14ac:dyDescent="0.2">
      <c r="A251" s="390"/>
      <c r="B251" s="389"/>
      <c r="C251" s="389"/>
      <c r="D251" s="389"/>
    </row>
    <row r="252" spans="1:4" x14ac:dyDescent="0.2">
      <c r="A252" s="390"/>
      <c r="B252" s="389"/>
      <c r="C252" s="389"/>
      <c r="D252" s="389"/>
    </row>
    <row r="253" spans="1:4" x14ac:dyDescent="0.2">
      <c r="A253" s="390"/>
      <c r="B253" s="389"/>
      <c r="C253" s="389"/>
      <c r="D253" s="389"/>
    </row>
    <row r="254" spans="1:4" x14ac:dyDescent="0.2">
      <c r="A254" s="390"/>
      <c r="B254" s="389"/>
      <c r="C254" s="389"/>
      <c r="D254" s="389"/>
    </row>
    <row r="255" spans="1:4" x14ac:dyDescent="0.2">
      <c r="A255" s="390"/>
      <c r="B255" s="389"/>
      <c r="C255" s="389"/>
      <c r="D255" s="389"/>
    </row>
    <row r="256" spans="1:4" x14ac:dyDescent="0.2">
      <c r="A256" s="390"/>
      <c r="B256" s="389"/>
      <c r="C256" s="389"/>
      <c r="D256" s="389"/>
    </row>
    <row r="257" spans="1:4" x14ac:dyDescent="0.2">
      <c r="A257" s="390"/>
      <c r="B257" s="389"/>
      <c r="C257" s="389"/>
      <c r="D257" s="389"/>
    </row>
    <row r="258" spans="1:4" x14ac:dyDescent="0.2">
      <c r="A258" s="390"/>
      <c r="B258" s="389"/>
      <c r="C258" s="389"/>
      <c r="D258" s="389"/>
    </row>
    <row r="259" spans="1:4" x14ac:dyDescent="0.2">
      <c r="A259" s="390"/>
      <c r="B259" s="389"/>
      <c r="C259" s="389"/>
      <c r="D259" s="389"/>
    </row>
    <row r="260" spans="1:4" x14ac:dyDescent="0.2">
      <c r="A260" s="390"/>
      <c r="B260" s="389"/>
      <c r="C260" s="389"/>
      <c r="D260" s="389"/>
    </row>
    <row r="261" spans="1:4" x14ac:dyDescent="0.2">
      <c r="A261" s="390"/>
      <c r="B261" s="389"/>
      <c r="C261" s="389"/>
      <c r="D261" s="389"/>
    </row>
    <row r="262" spans="1:4" x14ac:dyDescent="0.2">
      <c r="A262" s="390"/>
      <c r="B262" s="389"/>
      <c r="C262" s="389"/>
      <c r="D262" s="389"/>
    </row>
    <row r="263" spans="1:4" x14ac:dyDescent="0.2">
      <c r="A263" s="390"/>
      <c r="B263" s="389"/>
      <c r="C263" s="389"/>
      <c r="D263" s="389"/>
    </row>
    <row r="264" spans="1:4" x14ac:dyDescent="0.2">
      <c r="A264" s="390"/>
      <c r="B264" s="389"/>
      <c r="C264" s="389"/>
      <c r="D264" s="389"/>
    </row>
    <row r="265" spans="1:4" x14ac:dyDescent="0.2">
      <c r="A265" s="390"/>
      <c r="B265" s="389"/>
      <c r="C265" s="389"/>
      <c r="D265" s="389"/>
    </row>
    <row r="266" spans="1:4" x14ac:dyDescent="0.2">
      <c r="A266" s="390"/>
      <c r="B266" s="389"/>
      <c r="C266" s="389"/>
      <c r="D266" s="389"/>
    </row>
    <row r="267" spans="1:4" x14ac:dyDescent="0.2">
      <c r="A267" s="390"/>
      <c r="B267" s="389"/>
      <c r="C267" s="389"/>
      <c r="D267" s="389"/>
    </row>
    <row r="268" spans="1:4" x14ac:dyDescent="0.2">
      <c r="A268" s="390"/>
      <c r="B268" s="389"/>
      <c r="C268" s="389"/>
      <c r="D268" s="389"/>
    </row>
    <row r="269" spans="1:4" x14ac:dyDescent="0.2">
      <c r="A269" s="390"/>
      <c r="B269" s="389"/>
      <c r="C269" s="389"/>
      <c r="D269" s="389"/>
    </row>
    <row r="270" spans="1:4" x14ac:dyDescent="0.2">
      <c r="A270" s="390"/>
      <c r="B270" s="389"/>
      <c r="C270" s="389"/>
      <c r="D270" s="389"/>
    </row>
    <row r="271" spans="1:4" x14ac:dyDescent="0.2">
      <c r="A271" s="390"/>
      <c r="B271" s="389"/>
      <c r="C271" s="389"/>
      <c r="D271" s="389"/>
    </row>
    <row r="272" spans="1:4" x14ac:dyDescent="0.2">
      <c r="A272" s="390"/>
      <c r="B272" s="389"/>
      <c r="C272" s="389"/>
      <c r="D272" s="389"/>
    </row>
    <row r="273" spans="1:4" x14ac:dyDescent="0.2">
      <c r="A273" s="390"/>
      <c r="B273" s="389"/>
      <c r="C273" s="389"/>
      <c r="D273" s="389"/>
    </row>
    <row r="274" spans="1:4" x14ac:dyDescent="0.2">
      <c r="A274" s="390"/>
      <c r="B274" s="389"/>
      <c r="C274" s="389"/>
      <c r="D274" s="389"/>
    </row>
    <row r="275" spans="1:4" x14ac:dyDescent="0.2">
      <c r="A275" s="390"/>
      <c r="B275" s="389"/>
      <c r="C275" s="389"/>
      <c r="D275" s="389"/>
    </row>
    <row r="276" spans="1:4" x14ac:dyDescent="0.2">
      <c r="A276" s="390"/>
      <c r="B276" s="389"/>
      <c r="C276" s="389"/>
      <c r="D276" s="389"/>
    </row>
    <row r="277" spans="1:4" x14ac:dyDescent="0.2">
      <c r="A277" s="390"/>
      <c r="B277" s="389"/>
      <c r="C277" s="389"/>
      <c r="D277" s="389"/>
    </row>
    <row r="278" spans="1:4" x14ac:dyDescent="0.2">
      <c r="A278" s="390"/>
      <c r="B278" s="389"/>
      <c r="C278" s="389"/>
      <c r="D278" s="389"/>
    </row>
    <row r="279" spans="1:4" x14ac:dyDescent="0.2">
      <c r="A279" s="390"/>
      <c r="B279" s="389"/>
      <c r="C279" s="389"/>
      <c r="D279" s="389"/>
    </row>
    <row r="280" spans="1:4" x14ac:dyDescent="0.2">
      <c r="A280" s="390"/>
      <c r="B280" s="389"/>
      <c r="C280" s="389"/>
      <c r="D280" s="389"/>
    </row>
    <row r="281" spans="1:4" x14ac:dyDescent="0.2">
      <c r="A281" s="390"/>
      <c r="B281" s="389"/>
      <c r="C281" s="389"/>
      <c r="D281" s="389"/>
    </row>
    <row r="282" spans="1:4" x14ac:dyDescent="0.2">
      <c r="A282" s="390"/>
      <c r="B282" s="389"/>
      <c r="C282" s="389"/>
      <c r="D282" s="389"/>
    </row>
    <row r="283" spans="1:4" x14ac:dyDescent="0.2">
      <c r="A283" s="390"/>
      <c r="B283" s="389"/>
      <c r="C283" s="389"/>
      <c r="D283" s="389"/>
    </row>
    <row r="284" spans="1:4" x14ac:dyDescent="0.2">
      <c r="A284" s="390"/>
      <c r="B284" s="389"/>
      <c r="C284" s="389"/>
      <c r="D284" s="389"/>
    </row>
    <row r="285" spans="1:4" x14ac:dyDescent="0.2">
      <c r="A285" s="390"/>
      <c r="B285" s="389"/>
      <c r="C285" s="389"/>
      <c r="D285" s="389"/>
    </row>
    <row r="286" spans="1:4" x14ac:dyDescent="0.2">
      <c r="A286" s="390"/>
      <c r="B286" s="389"/>
      <c r="C286" s="389"/>
      <c r="D286" s="389"/>
    </row>
    <row r="287" spans="1:4" x14ac:dyDescent="0.2">
      <c r="A287" s="390"/>
      <c r="B287" s="389"/>
      <c r="C287" s="389"/>
      <c r="D287" s="389"/>
    </row>
    <row r="288" spans="1:4" x14ac:dyDescent="0.2">
      <c r="A288" s="390"/>
      <c r="B288" s="389"/>
      <c r="C288" s="389"/>
      <c r="D288" s="389"/>
    </row>
    <row r="289" spans="1:4" x14ac:dyDescent="0.2">
      <c r="A289" s="390"/>
      <c r="B289" s="389"/>
      <c r="C289" s="389"/>
      <c r="D289" s="389"/>
    </row>
    <row r="290" spans="1:4" x14ac:dyDescent="0.2">
      <c r="A290" s="390"/>
      <c r="B290" s="389"/>
      <c r="C290" s="389"/>
      <c r="D290" s="389"/>
    </row>
    <row r="291" spans="1:4" x14ac:dyDescent="0.2">
      <c r="A291" s="390"/>
      <c r="B291" s="389"/>
      <c r="C291" s="389"/>
      <c r="D291" s="389"/>
    </row>
    <row r="292" spans="1:4" x14ac:dyDescent="0.2">
      <c r="A292" s="390"/>
      <c r="B292" s="389"/>
      <c r="C292" s="389"/>
      <c r="D292" s="389"/>
    </row>
    <row r="293" spans="1:4" x14ac:dyDescent="0.2">
      <c r="A293" s="390"/>
      <c r="B293" s="389"/>
      <c r="C293" s="389"/>
      <c r="D293" s="389"/>
    </row>
    <row r="294" spans="1:4" x14ac:dyDescent="0.2">
      <c r="A294" s="390"/>
      <c r="B294" s="389"/>
      <c r="C294" s="389"/>
      <c r="D294" s="389"/>
    </row>
    <row r="295" spans="1:4" x14ac:dyDescent="0.2">
      <c r="A295" s="390"/>
      <c r="B295" s="389"/>
      <c r="C295" s="389"/>
      <c r="D295" s="389"/>
    </row>
    <row r="296" spans="1:4" x14ac:dyDescent="0.2">
      <c r="A296" s="390"/>
      <c r="B296" s="389"/>
      <c r="C296" s="389"/>
      <c r="D296" s="389"/>
    </row>
    <row r="297" spans="1:4" x14ac:dyDescent="0.2">
      <c r="A297" s="390"/>
      <c r="B297" s="389"/>
      <c r="C297" s="389"/>
      <c r="D297" s="389"/>
    </row>
    <row r="298" spans="1:4" x14ac:dyDescent="0.2">
      <c r="A298" s="390"/>
      <c r="B298" s="389"/>
      <c r="C298" s="389"/>
      <c r="D298" s="389"/>
    </row>
    <row r="299" spans="1:4" x14ac:dyDescent="0.2">
      <c r="A299" s="390"/>
      <c r="B299" s="389"/>
      <c r="C299" s="389"/>
      <c r="D299" s="389"/>
    </row>
    <row r="300" spans="1:4" x14ac:dyDescent="0.2">
      <c r="A300" s="390"/>
      <c r="B300" s="389"/>
      <c r="C300" s="389"/>
      <c r="D300" s="389"/>
    </row>
    <row r="301" spans="1:4" x14ac:dyDescent="0.2">
      <c r="A301" s="390"/>
      <c r="B301" s="389"/>
      <c r="C301" s="389"/>
      <c r="D301" s="389"/>
    </row>
    <row r="302" spans="1:4" x14ac:dyDescent="0.2">
      <c r="A302" s="390"/>
      <c r="B302" s="389"/>
      <c r="C302" s="389"/>
      <c r="D302" s="389"/>
    </row>
    <row r="303" spans="1:4" x14ac:dyDescent="0.2">
      <c r="A303" s="390"/>
      <c r="B303" s="389"/>
      <c r="C303" s="389"/>
      <c r="D303" s="389"/>
    </row>
    <row r="304" spans="1:4" x14ac:dyDescent="0.2">
      <c r="A304" s="390"/>
      <c r="B304" s="389"/>
      <c r="C304" s="389"/>
      <c r="D304" s="389"/>
    </row>
    <row r="305" spans="1:4" x14ac:dyDescent="0.2">
      <c r="A305" s="390"/>
      <c r="B305" s="389"/>
      <c r="C305" s="389"/>
      <c r="D305" s="389"/>
    </row>
    <row r="306" spans="1:4" x14ac:dyDescent="0.2">
      <c r="A306" s="390"/>
      <c r="B306" s="389"/>
      <c r="C306" s="389"/>
      <c r="D306" s="389"/>
    </row>
    <row r="307" spans="1:4" x14ac:dyDescent="0.2">
      <c r="A307" s="390"/>
      <c r="B307" s="389"/>
      <c r="C307" s="389"/>
      <c r="D307" s="389"/>
    </row>
    <row r="308" spans="1:4" x14ac:dyDescent="0.2">
      <c r="A308" s="390"/>
      <c r="B308" s="389"/>
      <c r="C308" s="389"/>
      <c r="D308" s="389"/>
    </row>
    <row r="309" spans="1:4" x14ac:dyDescent="0.2">
      <c r="A309" s="390"/>
      <c r="B309" s="389"/>
      <c r="C309" s="389"/>
      <c r="D309" s="389"/>
    </row>
    <row r="310" spans="1:4" x14ac:dyDescent="0.2">
      <c r="A310" s="390"/>
      <c r="B310" s="389"/>
      <c r="C310" s="389"/>
      <c r="D310" s="389"/>
    </row>
    <row r="311" spans="1:4" x14ac:dyDescent="0.2">
      <c r="A311" s="390"/>
      <c r="B311" s="389"/>
      <c r="C311" s="389"/>
      <c r="D311" s="389"/>
    </row>
    <row r="312" spans="1:4" x14ac:dyDescent="0.2">
      <c r="A312" s="390"/>
      <c r="B312" s="389"/>
      <c r="C312" s="389"/>
      <c r="D312" s="389"/>
    </row>
    <row r="313" spans="1:4" x14ac:dyDescent="0.2">
      <c r="A313" s="390"/>
      <c r="B313" s="389"/>
      <c r="C313" s="389"/>
      <c r="D313" s="389"/>
    </row>
    <row r="314" spans="1:4" x14ac:dyDescent="0.2">
      <c r="A314" s="390"/>
      <c r="B314" s="389"/>
      <c r="C314" s="389"/>
      <c r="D314" s="389"/>
    </row>
    <row r="315" spans="1:4" x14ac:dyDescent="0.2">
      <c r="A315" s="390"/>
      <c r="B315" s="389"/>
      <c r="C315" s="389"/>
      <c r="D315" s="389"/>
    </row>
    <row r="316" spans="1:4" x14ac:dyDescent="0.2">
      <c r="A316" s="390"/>
      <c r="B316" s="389"/>
      <c r="C316" s="389"/>
      <c r="D316" s="389"/>
    </row>
    <row r="317" spans="1:4" x14ac:dyDescent="0.2">
      <c r="A317" s="390"/>
      <c r="B317" s="389"/>
      <c r="C317" s="389"/>
      <c r="D317" s="389"/>
    </row>
    <row r="318" spans="1:4" x14ac:dyDescent="0.2">
      <c r="A318" s="390"/>
      <c r="B318" s="389"/>
      <c r="C318" s="389"/>
      <c r="D318" s="389"/>
    </row>
    <row r="319" spans="1:4" x14ac:dyDescent="0.2">
      <c r="A319" s="390"/>
      <c r="B319" s="389"/>
      <c r="C319" s="389"/>
      <c r="D319" s="389"/>
    </row>
    <row r="320" spans="1:4" x14ac:dyDescent="0.2">
      <c r="A320" s="390"/>
      <c r="B320" s="389"/>
      <c r="C320" s="389"/>
      <c r="D320" s="389"/>
    </row>
    <row r="321" spans="1:4" x14ac:dyDescent="0.2">
      <c r="A321" s="390"/>
      <c r="B321" s="389"/>
      <c r="C321" s="389"/>
      <c r="D321" s="389"/>
    </row>
    <row r="322" spans="1:4" x14ac:dyDescent="0.2">
      <c r="A322" s="390"/>
      <c r="B322" s="389"/>
      <c r="C322" s="389"/>
      <c r="D322" s="389"/>
    </row>
    <row r="323" spans="1:4" x14ac:dyDescent="0.2">
      <c r="A323" s="390"/>
      <c r="B323" s="389"/>
      <c r="C323" s="389"/>
      <c r="D323" s="389"/>
    </row>
    <row r="324" spans="1:4" x14ac:dyDescent="0.2">
      <c r="A324" s="390"/>
      <c r="B324" s="389"/>
      <c r="C324" s="389"/>
      <c r="D324" s="389"/>
    </row>
    <row r="325" spans="1:4" x14ac:dyDescent="0.2">
      <c r="A325" s="390"/>
      <c r="B325" s="389"/>
      <c r="C325" s="389"/>
      <c r="D325" s="389"/>
    </row>
    <row r="326" spans="1:4" x14ac:dyDescent="0.2">
      <c r="A326" s="390"/>
      <c r="B326" s="389"/>
      <c r="C326" s="389"/>
      <c r="D326" s="389"/>
    </row>
    <row r="327" spans="1:4" x14ac:dyDescent="0.2">
      <c r="A327" s="390"/>
      <c r="B327" s="389"/>
      <c r="C327" s="389"/>
      <c r="D327" s="389"/>
    </row>
    <row r="328" spans="1:4" x14ac:dyDescent="0.2">
      <c r="A328" s="390"/>
      <c r="B328" s="389"/>
      <c r="C328" s="389"/>
      <c r="D328" s="389"/>
    </row>
    <row r="329" spans="1:4" x14ac:dyDescent="0.2">
      <c r="A329" s="390"/>
      <c r="B329" s="389"/>
      <c r="C329" s="389"/>
      <c r="D329" s="389"/>
    </row>
    <row r="330" spans="1:4" x14ac:dyDescent="0.2">
      <c r="A330" s="390"/>
      <c r="B330" s="389"/>
      <c r="C330" s="389"/>
      <c r="D330" s="389"/>
    </row>
    <row r="331" spans="1:4" x14ac:dyDescent="0.2">
      <c r="A331" s="390"/>
      <c r="B331" s="389"/>
      <c r="C331" s="389"/>
      <c r="D331" s="389"/>
    </row>
    <row r="332" spans="1:4" x14ac:dyDescent="0.2">
      <c r="A332" s="390"/>
      <c r="B332" s="389"/>
      <c r="C332" s="389"/>
      <c r="D332" s="389"/>
    </row>
    <row r="333" spans="1:4" x14ac:dyDescent="0.2">
      <c r="A333" s="390"/>
      <c r="B333" s="389"/>
      <c r="C333" s="389"/>
      <c r="D333" s="389"/>
    </row>
    <row r="334" spans="1:4" x14ac:dyDescent="0.2">
      <c r="A334" s="390"/>
      <c r="B334" s="389"/>
      <c r="C334" s="389"/>
      <c r="D334" s="389"/>
    </row>
    <row r="335" spans="1:4" x14ac:dyDescent="0.2">
      <c r="A335" s="390"/>
      <c r="B335" s="389"/>
      <c r="C335" s="389"/>
      <c r="D335" s="389"/>
    </row>
    <row r="336" spans="1:4" x14ac:dyDescent="0.2">
      <c r="A336" s="390"/>
      <c r="B336" s="389"/>
      <c r="C336" s="389"/>
      <c r="D336" s="389"/>
    </row>
    <row r="337" spans="1:4" x14ac:dyDescent="0.2">
      <c r="A337" s="390"/>
      <c r="B337" s="389"/>
      <c r="C337" s="389"/>
      <c r="D337" s="389"/>
    </row>
    <row r="338" spans="1:4" x14ac:dyDescent="0.2">
      <c r="A338" s="390"/>
      <c r="B338" s="389"/>
      <c r="C338" s="389"/>
      <c r="D338" s="389"/>
    </row>
    <row r="339" spans="1:4" x14ac:dyDescent="0.2">
      <c r="A339" s="390"/>
      <c r="B339" s="389"/>
      <c r="C339" s="389"/>
      <c r="D339" s="389"/>
    </row>
    <row r="340" spans="1:4" x14ac:dyDescent="0.2">
      <c r="A340" s="390"/>
      <c r="B340" s="389"/>
      <c r="C340" s="389"/>
      <c r="D340" s="389"/>
    </row>
    <row r="341" spans="1:4" x14ac:dyDescent="0.2">
      <c r="A341" s="390"/>
      <c r="B341" s="389"/>
      <c r="C341" s="389"/>
      <c r="D341" s="389"/>
    </row>
    <row r="342" spans="1:4" x14ac:dyDescent="0.2">
      <c r="A342" s="390"/>
      <c r="B342" s="389"/>
      <c r="C342" s="389"/>
      <c r="D342" s="389"/>
    </row>
    <row r="343" spans="1:4" x14ac:dyDescent="0.2">
      <c r="A343" s="390"/>
      <c r="B343" s="389"/>
      <c r="C343" s="389"/>
      <c r="D343" s="389"/>
    </row>
    <row r="344" spans="1:4" x14ac:dyDescent="0.2">
      <c r="A344" s="390"/>
      <c r="B344" s="389"/>
      <c r="C344" s="389"/>
      <c r="D344" s="389"/>
    </row>
    <row r="345" spans="1:4" x14ac:dyDescent="0.2">
      <c r="A345" s="390"/>
      <c r="B345" s="389"/>
      <c r="C345" s="389"/>
      <c r="D345" s="389"/>
    </row>
    <row r="346" spans="1:4" x14ac:dyDescent="0.2">
      <c r="A346" s="390"/>
      <c r="B346" s="389"/>
      <c r="C346" s="389"/>
      <c r="D346" s="389"/>
    </row>
    <row r="347" spans="1:4" x14ac:dyDescent="0.2">
      <c r="A347" s="390"/>
      <c r="B347" s="389"/>
      <c r="C347" s="389"/>
      <c r="D347" s="389"/>
    </row>
    <row r="348" spans="1:4" x14ac:dyDescent="0.2">
      <c r="A348" s="390"/>
      <c r="B348" s="389"/>
      <c r="C348" s="389"/>
      <c r="D348" s="389"/>
    </row>
    <row r="349" spans="1:4" x14ac:dyDescent="0.2">
      <c r="A349" s="390"/>
      <c r="B349" s="389"/>
      <c r="C349" s="389"/>
      <c r="D349" s="389"/>
    </row>
    <row r="350" spans="1:4" x14ac:dyDescent="0.2">
      <c r="A350" s="390"/>
      <c r="B350" s="389"/>
      <c r="C350" s="389"/>
      <c r="D350" s="389"/>
    </row>
    <row r="351" spans="1:4" x14ac:dyDescent="0.2">
      <c r="A351" s="390"/>
      <c r="B351" s="389"/>
      <c r="C351" s="389"/>
      <c r="D351" s="389"/>
    </row>
    <row r="352" spans="1:4" x14ac:dyDescent="0.2">
      <c r="A352" s="390"/>
      <c r="B352" s="389"/>
      <c r="C352" s="389"/>
      <c r="D352" s="389"/>
    </row>
    <row r="353" spans="1:4" x14ac:dyDescent="0.2">
      <c r="A353" s="390"/>
      <c r="B353" s="389"/>
      <c r="C353" s="389"/>
      <c r="D353" s="389"/>
    </row>
    <row r="354" spans="1:4" x14ac:dyDescent="0.2">
      <c r="A354" s="390"/>
      <c r="B354" s="389"/>
      <c r="C354" s="389"/>
      <c r="D354" s="389"/>
    </row>
    <row r="355" spans="1:4" x14ac:dyDescent="0.2">
      <c r="A355" s="390"/>
      <c r="B355" s="389"/>
      <c r="C355" s="389"/>
      <c r="D355" s="389"/>
    </row>
    <row r="356" spans="1:4" x14ac:dyDescent="0.2">
      <c r="A356" s="390"/>
      <c r="B356" s="389"/>
      <c r="C356" s="389"/>
      <c r="D356" s="389"/>
    </row>
    <row r="357" spans="1:4" x14ac:dyDescent="0.2">
      <c r="A357" s="390"/>
      <c r="B357" s="389"/>
      <c r="C357" s="389"/>
      <c r="D357" s="389"/>
    </row>
    <row r="358" spans="1:4" x14ac:dyDescent="0.2">
      <c r="A358" s="390"/>
      <c r="B358" s="389"/>
      <c r="C358" s="389"/>
      <c r="D358" s="389"/>
    </row>
    <row r="359" spans="1:4" x14ac:dyDescent="0.2">
      <c r="A359" s="390"/>
      <c r="B359" s="389"/>
      <c r="C359" s="389"/>
      <c r="D359" s="389"/>
    </row>
    <row r="360" spans="1:4" x14ac:dyDescent="0.2">
      <c r="A360" s="390"/>
      <c r="B360" s="389"/>
      <c r="C360" s="389"/>
      <c r="D360" s="389"/>
    </row>
    <row r="361" spans="1:4" x14ac:dyDescent="0.2">
      <c r="A361" s="390"/>
      <c r="B361" s="389"/>
      <c r="C361" s="389"/>
      <c r="D361" s="389"/>
    </row>
    <row r="362" spans="1:4" x14ac:dyDescent="0.2">
      <c r="A362" s="390"/>
      <c r="B362" s="389"/>
      <c r="C362" s="389"/>
      <c r="D362" s="389"/>
    </row>
    <row r="363" spans="1:4" x14ac:dyDescent="0.2">
      <c r="A363" s="390"/>
      <c r="B363" s="389"/>
      <c r="C363" s="389"/>
      <c r="D363" s="389"/>
    </row>
    <row r="364" spans="1:4" x14ac:dyDescent="0.2">
      <c r="A364" s="390"/>
      <c r="B364" s="389"/>
      <c r="C364" s="389"/>
      <c r="D364" s="389"/>
    </row>
    <row r="365" spans="1:4" x14ac:dyDescent="0.2">
      <c r="A365" s="390"/>
      <c r="B365" s="389"/>
      <c r="C365" s="389"/>
      <c r="D365" s="389"/>
    </row>
    <row r="366" spans="1:4" x14ac:dyDescent="0.2">
      <c r="A366" s="390"/>
      <c r="B366" s="389"/>
      <c r="C366" s="389"/>
      <c r="D366" s="389"/>
    </row>
    <row r="367" spans="1:4" x14ac:dyDescent="0.2">
      <c r="A367" s="390"/>
      <c r="B367" s="389"/>
      <c r="C367" s="389"/>
      <c r="D367" s="389"/>
    </row>
    <row r="368" spans="1:4" x14ac:dyDescent="0.2">
      <c r="A368" s="390"/>
      <c r="B368" s="389"/>
      <c r="C368" s="389"/>
      <c r="D368" s="389"/>
    </row>
    <row r="369" spans="1:4" x14ac:dyDescent="0.2">
      <c r="A369" s="390"/>
      <c r="B369" s="389"/>
      <c r="C369" s="389"/>
      <c r="D369" s="389"/>
    </row>
    <row r="370" spans="1:4" x14ac:dyDescent="0.2">
      <c r="A370" s="390"/>
      <c r="B370" s="389"/>
      <c r="C370" s="389"/>
      <c r="D370" s="389"/>
    </row>
    <row r="371" spans="1:4" x14ac:dyDescent="0.2">
      <c r="A371" s="390"/>
      <c r="B371" s="389"/>
      <c r="C371" s="389"/>
      <c r="D371" s="389"/>
    </row>
    <row r="372" spans="1:4" x14ac:dyDescent="0.2">
      <c r="A372" s="390"/>
      <c r="B372" s="389"/>
      <c r="C372" s="389"/>
      <c r="D372" s="389"/>
    </row>
    <row r="373" spans="1:4" x14ac:dyDescent="0.2">
      <c r="A373" s="390"/>
      <c r="B373" s="389"/>
      <c r="C373" s="389"/>
      <c r="D373" s="389"/>
    </row>
    <row r="374" spans="1:4" x14ac:dyDescent="0.2">
      <c r="A374" s="390"/>
      <c r="B374" s="389"/>
      <c r="C374" s="389"/>
      <c r="D374" s="389"/>
    </row>
    <row r="375" spans="1:4" x14ac:dyDescent="0.2">
      <c r="A375" s="390"/>
      <c r="B375" s="389"/>
      <c r="C375" s="389"/>
      <c r="D375" s="389"/>
    </row>
    <row r="376" spans="1:4" x14ac:dyDescent="0.2">
      <c r="A376" s="390"/>
      <c r="B376" s="389"/>
      <c r="C376" s="389"/>
      <c r="D376" s="389"/>
    </row>
    <row r="377" spans="1:4" x14ac:dyDescent="0.2">
      <c r="A377" s="390"/>
      <c r="B377" s="389"/>
      <c r="C377" s="389"/>
      <c r="D377" s="389"/>
    </row>
    <row r="378" spans="1:4" x14ac:dyDescent="0.2">
      <c r="A378" s="390"/>
      <c r="B378" s="389"/>
      <c r="C378" s="389"/>
      <c r="D378" s="389"/>
    </row>
    <row r="379" spans="1:4" x14ac:dyDescent="0.2">
      <c r="A379" s="390"/>
      <c r="B379" s="389"/>
      <c r="C379" s="389"/>
      <c r="D379" s="389"/>
    </row>
    <row r="380" spans="1:4" x14ac:dyDescent="0.2">
      <c r="A380" s="390"/>
      <c r="B380" s="389"/>
      <c r="C380" s="389"/>
      <c r="D380" s="389"/>
    </row>
    <row r="381" spans="1:4" x14ac:dyDescent="0.2">
      <c r="A381" s="389"/>
      <c r="B381" s="389"/>
      <c r="C381" s="389"/>
      <c r="D381" s="389"/>
    </row>
    <row r="382" spans="1:4" x14ac:dyDescent="0.2">
      <c r="A382" s="389"/>
      <c r="B382" s="389"/>
      <c r="C382" s="389"/>
      <c r="D382" s="389"/>
    </row>
    <row r="383" spans="1:4" x14ac:dyDescent="0.2">
      <c r="A383" s="389"/>
      <c r="B383" s="389"/>
      <c r="C383" s="389"/>
      <c r="D383" s="389"/>
    </row>
    <row r="384" spans="1:4" x14ac:dyDescent="0.2">
      <c r="A384" s="389"/>
      <c r="B384" s="389"/>
      <c r="C384" s="389"/>
      <c r="D384" s="389"/>
    </row>
    <row r="385" spans="1:4" x14ac:dyDescent="0.2">
      <c r="A385" s="389"/>
      <c r="B385" s="389"/>
      <c r="C385" s="389"/>
      <c r="D385" s="389"/>
    </row>
    <row r="386" spans="1:4" x14ac:dyDescent="0.2">
      <c r="A386" s="389"/>
      <c r="B386" s="389"/>
      <c r="C386" s="389"/>
      <c r="D386" s="389"/>
    </row>
    <row r="387" spans="1:4" x14ac:dyDescent="0.2">
      <c r="A387" s="389"/>
      <c r="B387" s="389"/>
      <c r="C387" s="389"/>
      <c r="D387" s="389"/>
    </row>
    <row r="388" spans="1:4" x14ac:dyDescent="0.2">
      <c r="A388" s="389"/>
      <c r="B388" s="389"/>
      <c r="C388" s="389"/>
      <c r="D388" s="389"/>
    </row>
    <row r="389" spans="1:4" x14ac:dyDescent="0.2">
      <c r="A389" s="389"/>
      <c r="B389" s="389"/>
      <c r="C389" s="389"/>
      <c r="D389" s="389"/>
    </row>
    <row r="390" spans="1:4" x14ac:dyDescent="0.2">
      <c r="A390" s="389"/>
      <c r="B390" s="389"/>
      <c r="C390" s="389"/>
      <c r="D390" s="389"/>
    </row>
    <row r="391" spans="1:4" x14ac:dyDescent="0.2">
      <c r="A391" s="389"/>
      <c r="B391" s="389"/>
      <c r="C391" s="389"/>
      <c r="D391" s="389"/>
    </row>
    <row r="392" spans="1:4" x14ac:dyDescent="0.2">
      <c r="A392" s="389"/>
      <c r="B392" s="389"/>
      <c r="C392" s="389"/>
      <c r="D392" s="389"/>
    </row>
    <row r="393" spans="1:4" x14ac:dyDescent="0.2">
      <c r="A393" s="389"/>
      <c r="B393" s="389"/>
      <c r="C393" s="389"/>
      <c r="D393" s="389"/>
    </row>
    <row r="394" spans="1:4" x14ac:dyDescent="0.2">
      <c r="A394" s="389"/>
      <c r="B394" s="389"/>
      <c r="C394" s="389"/>
      <c r="D394" s="389"/>
    </row>
    <row r="395" spans="1:4" x14ac:dyDescent="0.2">
      <c r="A395" s="389"/>
      <c r="B395" s="389"/>
      <c r="C395" s="389"/>
      <c r="D395" s="389"/>
    </row>
    <row r="396" spans="1:4" x14ac:dyDescent="0.2">
      <c r="A396" s="389"/>
      <c r="B396" s="389"/>
      <c r="C396" s="389"/>
      <c r="D396" s="389"/>
    </row>
    <row r="397" spans="1:4" x14ac:dyDescent="0.2">
      <c r="A397" s="389"/>
      <c r="B397" s="389"/>
      <c r="C397" s="389"/>
      <c r="D397" s="389"/>
    </row>
    <row r="398" spans="1:4" x14ac:dyDescent="0.2">
      <c r="A398" s="389"/>
      <c r="B398" s="389"/>
      <c r="C398" s="389"/>
      <c r="D398" s="389"/>
    </row>
    <row r="399" spans="1:4" x14ac:dyDescent="0.2">
      <c r="A399" s="389"/>
      <c r="B399" s="389"/>
      <c r="C399" s="389"/>
      <c r="D399" s="389"/>
    </row>
    <row r="400" spans="1:4" x14ac:dyDescent="0.2">
      <c r="A400" s="389"/>
      <c r="B400" s="389"/>
      <c r="C400" s="389"/>
      <c r="D400" s="389"/>
    </row>
    <row r="401" spans="1:4" x14ac:dyDescent="0.2">
      <c r="A401" s="389"/>
      <c r="B401" s="389"/>
      <c r="C401" s="389"/>
      <c r="D401" s="389"/>
    </row>
    <row r="402" spans="1:4" x14ac:dyDescent="0.2">
      <c r="A402" s="389"/>
      <c r="B402" s="389"/>
      <c r="C402" s="389"/>
      <c r="D402" s="389"/>
    </row>
    <row r="403" spans="1:4" x14ac:dyDescent="0.2">
      <c r="A403" s="389"/>
      <c r="B403" s="389"/>
      <c r="C403" s="389"/>
      <c r="D403" s="389"/>
    </row>
    <row r="404" spans="1:4" x14ac:dyDescent="0.2">
      <c r="A404" s="389"/>
      <c r="B404" s="389"/>
      <c r="C404" s="389"/>
      <c r="D404" s="389"/>
    </row>
    <row r="405" spans="1:4" x14ac:dyDescent="0.2">
      <c r="A405" s="389"/>
      <c r="B405" s="389"/>
      <c r="C405" s="389"/>
      <c r="D405" s="389"/>
    </row>
    <row r="406" spans="1:4" x14ac:dyDescent="0.2">
      <c r="A406" s="389"/>
      <c r="B406" s="389"/>
      <c r="C406" s="389"/>
      <c r="D406" s="389"/>
    </row>
    <row r="407" spans="1:4" x14ac:dyDescent="0.2">
      <c r="A407" s="389"/>
      <c r="B407" s="389"/>
      <c r="C407" s="389"/>
      <c r="D407" s="389"/>
    </row>
    <row r="408" spans="1:4" x14ac:dyDescent="0.2">
      <c r="A408" s="389"/>
      <c r="B408" s="389"/>
      <c r="C408" s="389"/>
      <c r="D408" s="389"/>
    </row>
    <row r="409" spans="1:4" x14ac:dyDescent="0.2">
      <c r="A409" s="389"/>
      <c r="B409" s="389"/>
      <c r="C409" s="389"/>
      <c r="D409" s="389"/>
    </row>
    <row r="410" spans="1:4" x14ac:dyDescent="0.2">
      <c r="A410" s="389"/>
      <c r="B410" s="389"/>
      <c r="C410" s="389"/>
      <c r="D410" s="389"/>
    </row>
    <row r="411" spans="1:4" x14ac:dyDescent="0.2">
      <c r="A411" s="389"/>
      <c r="B411" s="389"/>
      <c r="C411" s="389"/>
      <c r="D411" s="389"/>
    </row>
    <row r="412" spans="1:4" x14ac:dyDescent="0.2">
      <c r="A412" s="389"/>
      <c r="B412" s="389"/>
      <c r="C412" s="389"/>
      <c r="D412" s="389"/>
    </row>
    <row r="413" spans="1:4" x14ac:dyDescent="0.2">
      <c r="A413" s="389"/>
      <c r="B413" s="389"/>
      <c r="C413" s="389"/>
      <c r="D413" s="389"/>
    </row>
    <row r="414" spans="1:4" x14ac:dyDescent="0.2">
      <c r="A414" s="389"/>
      <c r="B414" s="389"/>
      <c r="C414" s="389"/>
      <c r="D414" s="389"/>
    </row>
    <row r="415" spans="1:4" x14ac:dyDescent="0.2">
      <c r="A415" s="389"/>
      <c r="B415" s="389"/>
      <c r="C415" s="389"/>
      <c r="D415" s="389"/>
    </row>
    <row r="416" spans="1:4" x14ac:dyDescent="0.2">
      <c r="A416" s="389"/>
      <c r="B416" s="389"/>
      <c r="C416" s="389"/>
      <c r="D416" s="389"/>
    </row>
    <row r="417" spans="1:4" x14ac:dyDescent="0.2">
      <c r="A417" s="389"/>
      <c r="B417" s="389"/>
      <c r="C417" s="389"/>
      <c r="D417" s="389"/>
    </row>
    <row r="418" spans="1:4" x14ac:dyDescent="0.2">
      <c r="A418" s="389"/>
      <c r="B418" s="389"/>
      <c r="C418" s="389"/>
      <c r="D418" s="389"/>
    </row>
    <row r="419" spans="1:4" x14ac:dyDescent="0.2">
      <c r="A419" s="389"/>
      <c r="B419" s="389"/>
      <c r="C419" s="389"/>
      <c r="D419" s="389"/>
    </row>
    <row r="420" spans="1:4" x14ac:dyDescent="0.2">
      <c r="A420" s="389"/>
      <c r="B420" s="389"/>
      <c r="C420" s="389"/>
      <c r="D420" s="389"/>
    </row>
    <row r="421" spans="1:4" x14ac:dyDescent="0.2">
      <c r="A421" s="389"/>
      <c r="B421" s="389"/>
      <c r="C421" s="389"/>
      <c r="D421" s="389"/>
    </row>
    <row r="422" spans="1:4" x14ac:dyDescent="0.2">
      <c r="A422" s="389"/>
      <c r="B422" s="389"/>
      <c r="C422" s="389"/>
      <c r="D422" s="389"/>
    </row>
    <row r="423" spans="1:4" x14ac:dyDescent="0.2">
      <c r="A423" s="389"/>
      <c r="B423" s="389"/>
      <c r="C423" s="389"/>
      <c r="D423" s="389"/>
    </row>
    <row r="424" spans="1:4" x14ac:dyDescent="0.2">
      <c r="A424" s="389"/>
      <c r="B424" s="389"/>
      <c r="C424" s="389"/>
      <c r="D424" s="389"/>
    </row>
    <row r="425" spans="1:4" x14ac:dyDescent="0.2">
      <c r="A425" s="389"/>
      <c r="B425" s="389"/>
      <c r="C425" s="389"/>
      <c r="D425" s="389"/>
    </row>
    <row r="426" spans="1:4" x14ac:dyDescent="0.2">
      <c r="A426" s="389"/>
      <c r="B426" s="389"/>
      <c r="C426" s="389"/>
      <c r="D426" s="389"/>
    </row>
    <row r="427" spans="1:4" x14ac:dyDescent="0.2">
      <c r="A427" s="389"/>
      <c r="B427" s="389"/>
      <c r="C427" s="389"/>
      <c r="D427" s="389"/>
    </row>
    <row r="428" spans="1:4" x14ac:dyDescent="0.2">
      <c r="A428" s="389"/>
      <c r="B428" s="389"/>
      <c r="C428" s="389"/>
      <c r="D428" s="389"/>
    </row>
    <row r="429" spans="1:4" x14ac:dyDescent="0.2">
      <c r="A429" s="389"/>
      <c r="B429" s="389"/>
      <c r="C429" s="389"/>
      <c r="D429" s="389"/>
    </row>
    <row r="430" spans="1:4" x14ac:dyDescent="0.2">
      <c r="A430" s="389"/>
      <c r="B430" s="389"/>
      <c r="C430" s="389"/>
      <c r="D430" s="389"/>
    </row>
    <row r="431" spans="1:4" x14ac:dyDescent="0.2">
      <c r="A431" s="389"/>
      <c r="B431" s="389"/>
      <c r="C431" s="389"/>
      <c r="D431" s="389"/>
    </row>
    <row r="432" spans="1:4" x14ac:dyDescent="0.2">
      <c r="A432" s="389"/>
      <c r="B432" s="389"/>
      <c r="C432" s="389"/>
      <c r="D432" s="389"/>
    </row>
    <row r="433" spans="1:4" x14ac:dyDescent="0.2">
      <c r="A433" s="389"/>
      <c r="B433" s="389"/>
      <c r="C433" s="389"/>
      <c r="D433" s="389"/>
    </row>
    <row r="434" spans="1:4" x14ac:dyDescent="0.2">
      <c r="A434" s="389"/>
      <c r="B434" s="389"/>
      <c r="C434" s="389"/>
      <c r="D434" s="389"/>
    </row>
    <row r="435" spans="1:4" x14ac:dyDescent="0.2">
      <c r="A435" s="389"/>
      <c r="B435" s="389"/>
      <c r="C435" s="389"/>
      <c r="D435" s="389"/>
    </row>
    <row r="436" spans="1:4" x14ac:dyDescent="0.2">
      <c r="A436" s="389"/>
      <c r="B436" s="389"/>
      <c r="C436" s="389"/>
      <c r="D436" s="389"/>
    </row>
    <row r="437" spans="1:4" x14ac:dyDescent="0.2">
      <c r="A437" s="389"/>
      <c r="B437" s="389"/>
      <c r="C437" s="389"/>
      <c r="D437" s="389"/>
    </row>
    <row r="438" spans="1:4" x14ac:dyDescent="0.2">
      <c r="A438" s="389"/>
      <c r="B438" s="389"/>
      <c r="C438" s="389"/>
      <c r="D438" s="389"/>
    </row>
    <row r="439" spans="1:4" x14ac:dyDescent="0.2">
      <c r="A439" s="389"/>
      <c r="B439" s="389"/>
      <c r="C439" s="389"/>
      <c r="D439" s="389"/>
    </row>
    <row r="440" spans="1:4" x14ac:dyDescent="0.2">
      <c r="A440" s="389"/>
      <c r="B440" s="389"/>
      <c r="C440" s="389"/>
      <c r="D440" s="389"/>
    </row>
    <row r="441" spans="1:4" x14ac:dyDescent="0.2">
      <c r="A441" s="389"/>
      <c r="B441" s="389"/>
      <c r="C441" s="389"/>
      <c r="D441" s="389"/>
    </row>
    <row r="442" spans="1:4" x14ac:dyDescent="0.2">
      <c r="A442" s="389"/>
      <c r="B442" s="389"/>
      <c r="C442" s="389"/>
      <c r="D442" s="389"/>
    </row>
    <row r="443" spans="1:4" x14ac:dyDescent="0.2">
      <c r="A443" s="389"/>
      <c r="B443" s="389"/>
      <c r="C443" s="389"/>
      <c r="D443" s="389"/>
    </row>
    <row r="444" spans="1:4" x14ac:dyDescent="0.2">
      <c r="A444" s="389"/>
      <c r="B444" s="389"/>
      <c r="C444" s="389"/>
      <c r="D444" s="389"/>
    </row>
    <row r="445" spans="1:4" x14ac:dyDescent="0.2">
      <c r="A445" s="389"/>
      <c r="B445" s="389"/>
      <c r="C445" s="389"/>
      <c r="D445" s="389"/>
    </row>
    <row r="446" spans="1:4" x14ac:dyDescent="0.2">
      <c r="A446" s="389"/>
      <c r="B446" s="389"/>
      <c r="C446" s="389"/>
      <c r="D446" s="389"/>
    </row>
    <row r="447" spans="1:4" x14ac:dyDescent="0.2">
      <c r="A447" s="389"/>
      <c r="B447" s="389"/>
      <c r="C447" s="389"/>
      <c r="D447" s="389"/>
    </row>
    <row r="448" spans="1:4" x14ac:dyDescent="0.2">
      <c r="A448" s="389"/>
      <c r="B448" s="389"/>
      <c r="C448" s="389"/>
      <c r="D448" s="389"/>
    </row>
    <row r="449" spans="1:4" x14ac:dyDescent="0.2">
      <c r="A449" s="389"/>
      <c r="B449" s="389"/>
      <c r="C449" s="389"/>
      <c r="D449" s="389"/>
    </row>
    <row r="450" spans="1:4" x14ac:dyDescent="0.2">
      <c r="A450" s="389"/>
      <c r="B450" s="389"/>
      <c r="C450" s="389"/>
      <c r="D450" s="389"/>
    </row>
    <row r="451" spans="1:4" x14ac:dyDescent="0.2">
      <c r="A451" s="389"/>
      <c r="B451" s="389"/>
      <c r="C451" s="389"/>
      <c r="D451" s="389"/>
    </row>
    <row r="452" spans="1:4" x14ac:dyDescent="0.2">
      <c r="A452" s="389"/>
      <c r="B452" s="389"/>
      <c r="C452" s="389"/>
      <c r="D452" s="389"/>
    </row>
    <row r="453" spans="1:4" x14ac:dyDescent="0.2">
      <c r="A453" s="389"/>
      <c r="B453" s="389"/>
      <c r="C453" s="389"/>
      <c r="D453" s="389"/>
    </row>
    <row r="454" spans="1:4" x14ac:dyDescent="0.2">
      <c r="A454" s="389"/>
      <c r="B454" s="389"/>
      <c r="C454" s="389"/>
      <c r="D454" s="389"/>
    </row>
    <row r="455" spans="1:4" x14ac:dyDescent="0.2">
      <c r="A455" s="389"/>
      <c r="B455" s="389"/>
      <c r="C455" s="389"/>
      <c r="D455" s="389"/>
    </row>
    <row r="456" spans="1:4" x14ac:dyDescent="0.2">
      <c r="A456" s="389"/>
      <c r="B456" s="389"/>
      <c r="C456" s="389"/>
      <c r="D456" s="389"/>
    </row>
    <row r="457" spans="1:4" x14ac:dyDescent="0.2">
      <c r="A457" s="389"/>
      <c r="B457" s="389"/>
      <c r="C457" s="389"/>
      <c r="D457" s="389"/>
    </row>
    <row r="458" spans="1:4" x14ac:dyDescent="0.2">
      <c r="A458" s="389"/>
      <c r="B458" s="389"/>
      <c r="C458" s="389"/>
      <c r="D458" s="389"/>
    </row>
    <row r="459" spans="1:4" x14ac:dyDescent="0.2">
      <c r="A459" s="389"/>
      <c r="B459" s="389"/>
      <c r="C459" s="389"/>
      <c r="D459" s="389"/>
    </row>
    <row r="460" spans="1:4" x14ac:dyDescent="0.2">
      <c r="A460" s="389"/>
      <c r="B460" s="389"/>
      <c r="C460" s="389"/>
      <c r="D460" s="389"/>
    </row>
    <row r="461" spans="1:4" x14ac:dyDescent="0.2">
      <c r="A461" s="389"/>
      <c r="B461" s="389"/>
      <c r="C461" s="389"/>
      <c r="D461" s="389"/>
    </row>
    <row r="462" spans="1:4" x14ac:dyDescent="0.2">
      <c r="A462" s="389"/>
      <c r="B462" s="389"/>
      <c r="C462" s="389"/>
      <c r="D462" s="389"/>
    </row>
    <row r="463" spans="1:4" x14ac:dyDescent="0.2">
      <c r="A463" s="389"/>
      <c r="B463" s="389"/>
      <c r="C463" s="389"/>
      <c r="D463" s="389"/>
    </row>
    <row r="464" spans="1:4" x14ac:dyDescent="0.2">
      <c r="A464" s="389"/>
      <c r="B464" s="389"/>
      <c r="C464" s="389"/>
      <c r="D464" s="389"/>
    </row>
    <row r="465" spans="1:4" x14ac:dyDescent="0.2">
      <c r="A465" s="389"/>
      <c r="B465" s="389"/>
      <c r="C465" s="389"/>
      <c r="D465" s="389"/>
    </row>
    <row r="466" spans="1:4" x14ac:dyDescent="0.2">
      <c r="A466" s="389"/>
      <c r="B466" s="389"/>
      <c r="C466" s="389"/>
      <c r="D466" s="389"/>
    </row>
    <row r="467" spans="1:4" x14ac:dyDescent="0.2">
      <c r="A467" s="389"/>
      <c r="B467" s="389"/>
      <c r="C467" s="389"/>
      <c r="D467" s="389"/>
    </row>
    <row r="468" spans="1:4" x14ac:dyDescent="0.2">
      <c r="A468" s="389"/>
      <c r="B468" s="389"/>
      <c r="C468" s="389"/>
      <c r="D468" s="389"/>
    </row>
    <row r="469" spans="1:4" x14ac:dyDescent="0.2">
      <c r="A469" s="389"/>
      <c r="B469" s="389"/>
      <c r="C469" s="389"/>
      <c r="D469" s="389"/>
    </row>
    <row r="470" spans="1:4" x14ac:dyDescent="0.2">
      <c r="A470" s="389"/>
      <c r="B470" s="389"/>
      <c r="C470" s="389"/>
      <c r="D470" s="389"/>
    </row>
    <row r="471" spans="1:4" x14ac:dyDescent="0.2">
      <c r="A471" s="389"/>
      <c r="B471" s="389"/>
      <c r="C471" s="389"/>
      <c r="D471" s="389"/>
    </row>
    <row r="472" spans="1:4" x14ac:dyDescent="0.2">
      <c r="A472" s="389"/>
      <c r="B472" s="389"/>
      <c r="C472" s="389"/>
      <c r="D472" s="389"/>
    </row>
    <row r="473" spans="1:4" x14ac:dyDescent="0.2">
      <c r="A473" s="389"/>
      <c r="B473" s="389"/>
      <c r="C473" s="389"/>
      <c r="D473" s="389"/>
    </row>
    <row r="474" spans="1:4" x14ac:dyDescent="0.2">
      <c r="A474" s="389"/>
      <c r="B474" s="389"/>
      <c r="C474" s="389"/>
      <c r="D474" s="389"/>
    </row>
    <row r="475" spans="1:4" x14ac:dyDescent="0.2">
      <c r="A475" s="389"/>
      <c r="B475" s="389"/>
      <c r="C475" s="389"/>
      <c r="D475" s="389"/>
    </row>
    <row r="476" spans="1:4" x14ac:dyDescent="0.2">
      <c r="A476" s="389"/>
      <c r="B476" s="389"/>
      <c r="C476" s="389"/>
      <c r="D476" s="389"/>
    </row>
    <row r="477" spans="1:4" x14ac:dyDescent="0.2">
      <c r="A477" s="389"/>
      <c r="B477" s="389"/>
      <c r="C477" s="389"/>
      <c r="D477" s="389"/>
    </row>
    <row r="478" spans="1:4" x14ac:dyDescent="0.2">
      <c r="A478" s="389"/>
      <c r="B478" s="389"/>
      <c r="C478" s="389"/>
      <c r="D478" s="389"/>
    </row>
    <row r="479" spans="1:4" x14ac:dyDescent="0.2">
      <c r="A479" s="389"/>
      <c r="B479" s="389"/>
      <c r="C479" s="389"/>
      <c r="D479" s="389"/>
    </row>
    <row r="480" spans="1:4" x14ac:dyDescent="0.2">
      <c r="A480" s="389"/>
      <c r="B480" s="389"/>
      <c r="C480" s="389"/>
      <c r="D480" s="389"/>
    </row>
    <row r="481" spans="1:4" x14ac:dyDescent="0.2">
      <c r="A481" s="389"/>
      <c r="B481" s="389"/>
      <c r="C481" s="389"/>
      <c r="D481" s="389"/>
    </row>
    <row r="482" spans="1:4" x14ac:dyDescent="0.2">
      <c r="A482" s="389"/>
      <c r="B482" s="389"/>
      <c r="C482" s="389"/>
      <c r="D482" s="389"/>
    </row>
    <row r="483" spans="1:4" x14ac:dyDescent="0.2">
      <c r="A483" s="389"/>
      <c r="B483" s="389"/>
      <c r="C483" s="389"/>
      <c r="D483" s="389"/>
    </row>
    <row r="484" spans="1:4" x14ac:dyDescent="0.2">
      <c r="A484" s="389"/>
      <c r="B484" s="389"/>
      <c r="C484" s="389"/>
      <c r="D484" s="389"/>
    </row>
    <row r="485" spans="1:4" x14ac:dyDescent="0.2">
      <c r="A485" s="389"/>
      <c r="B485" s="389"/>
      <c r="C485" s="389"/>
      <c r="D485" s="389"/>
    </row>
    <row r="486" spans="1:4" x14ac:dyDescent="0.2">
      <c r="A486" s="389"/>
      <c r="B486" s="389"/>
      <c r="C486" s="389"/>
      <c r="D486" s="389"/>
    </row>
    <row r="487" spans="1:4" x14ac:dyDescent="0.2">
      <c r="A487" s="389"/>
      <c r="B487" s="389"/>
      <c r="C487" s="389"/>
      <c r="D487" s="389"/>
    </row>
    <row r="488" spans="1:4" x14ac:dyDescent="0.2">
      <c r="A488" s="389"/>
      <c r="B488" s="389"/>
      <c r="C488" s="389"/>
      <c r="D488" s="389"/>
    </row>
    <row r="489" spans="1:4" x14ac:dyDescent="0.2">
      <c r="A489" s="389"/>
      <c r="B489" s="389"/>
      <c r="C489" s="389"/>
      <c r="D489" s="389"/>
    </row>
    <row r="490" spans="1:4" x14ac:dyDescent="0.2">
      <c r="A490" s="389"/>
      <c r="B490" s="389"/>
      <c r="C490" s="389"/>
      <c r="D490" s="389"/>
    </row>
  </sheetData>
  <phoneticPr fontId="9"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0FD2C-C877-459D-BED4-697DC92A72B7}">
  <sheetPr codeName="Sheet7"/>
  <dimension ref="A1:F35"/>
  <sheetViews>
    <sheetView workbookViewId="0">
      <selection activeCell="E2" sqref="E2"/>
    </sheetView>
  </sheetViews>
  <sheetFormatPr defaultRowHeight="12.75" x14ac:dyDescent="0.2"/>
  <cols>
    <col min="1" max="1" width="38.7109375" customWidth="1"/>
    <col min="3" max="3" width="12.42578125" customWidth="1"/>
    <col min="4" max="6" width="10.7109375" customWidth="1"/>
  </cols>
  <sheetData>
    <row r="1" spans="1:6" x14ac:dyDescent="0.2">
      <c r="B1" t="s">
        <v>209</v>
      </c>
      <c r="C1" t="s">
        <v>210</v>
      </c>
      <c r="D1" t="s">
        <v>211</v>
      </c>
      <c r="E1" t="s">
        <v>212</v>
      </c>
      <c r="F1" t="s">
        <v>212</v>
      </c>
    </row>
    <row r="2" spans="1:6" x14ac:dyDescent="0.2">
      <c r="A2" t="s">
        <v>38</v>
      </c>
      <c r="B2" t="s">
        <v>213</v>
      </c>
      <c r="C2" t="s">
        <v>214</v>
      </c>
      <c r="D2" t="s">
        <v>215</v>
      </c>
      <c r="E2" s="27">
        <v>0.5</v>
      </c>
      <c r="F2" s="27">
        <v>1</v>
      </c>
    </row>
    <row r="3" spans="1:6" x14ac:dyDescent="0.2">
      <c r="A3" t="s">
        <v>41</v>
      </c>
      <c r="E3" s="28">
        <v>10.057600000000001</v>
      </c>
      <c r="F3" s="28">
        <v>10.057600000000001</v>
      </c>
    </row>
    <row r="4" spans="1:6" x14ac:dyDescent="0.2">
      <c r="A4" t="s">
        <v>42</v>
      </c>
      <c r="E4" s="28">
        <v>10.057600000000001</v>
      </c>
      <c r="F4" s="28">
        <v>10.057600000000001</v>
      </c>
    </row>
    <row r="5" spans="1:6" x14ac:dyDescent="0.2">
      <c r="A5" t="s">
        <v>43</v>
      </c>
      <c r="E5" s="28">
        <v>10.16</v>
      </c>
      <c r="F5" s="28">
        <v>10.16</v>
      </c>
    </row>
    <row r="6" spans="1:6" x14ac:dyDescent="0.2">
      <c r="A6" t="s">
        <v>44</v>
      </c>
      <c r="E6" s="28">
        <v>10.16</v>
      </c>
      <c r="F6" s="28">
        <v>10.16</v>
      </c>
    </row>
    <row r="7" spans="1:6" x14ac:dyDescent="0.2">
      <c r="A7" t="s">
        <v>45</v>
      </c>
      <c r="E7" s="28">
        <v>10.16</v>
      </c>
      <c r="F7" s="28">
        <v>10.16</v>
      </c>
    </row>
    <row r="8" spans="1:6" x14ac:dyDescent="0.2">
      <c r="A8" t="s">
        <v>216</v>
      </c>
      <c r="E8" s="28"/>
      <c r="F8" s="28"/>
    </row>
    <row r="9" spans="1:6" x14ac:dyDescent="0.2">
      <c r="A9" t="s">
        <v>217</v>
      </c>
      <c r="C9">
        <v>8</v>
      </c>
      <c r="D9">
        <v>8</v>
      </c>
      <c r="E9" s="28">
        <v>10.557</v>
      </c>
      <c r="F9" s="28">
        <v>9.1679999999999993</v>
      </c>
    </row>
    <row r="10" spans="1:6" x14ac:dyDescent="0.2">
      <c r="A10" t="s">
        <v>218</v>
      </c>
      <c r="B10">
        <v>657</v>
      </c>
      <c r="C10">
        <v>8</v>
      </c>
      <c r="D10">
        <v>8</v>
      </c>
      <c r="E10" s="28">
        <v>10.887</v>
      </c>
      <c r="F10" s="28">
        <v>9.2119999999999997</v>
      </c>
    </row>
    <row r="11" spans="1:6" x14ac:dyDescent="0.2">
      <c r="A11" t="s">
        <v>219</v>
      </c>
      <c r="B11">
        <v>657</v>
      </c>
      <c r="C11">
        <v>8</v>
      </c>
      <c r="D11">
        <v>8</v>
      </c>
      <c r="E11" s="28">
        <v>10.887</v>
      </c>
      <c r="F11" s="28">
        <v>9.2119999999999997</v>
      </c>
    </row>
    <row r="12" spans="1:6" x14ac:dyDescent="0.2">
      <c r="A12" t="s">
        <v>48</v>
      </c>
      <c r="B12">
        <v>562</v>
      </c>
      <c r="C12">
        <v>40</v>
      </c>
      <c r="D12">
        <v>40</v>
      </c>
      <c r="E12" s="28">
        <v>10.467000000000001</v>
      </c>
      <c r="F12" s="28">
        <v>10.087999999999999</v>
      </c>
    </row>
    <row r="13" spans="1:6" x14ac:dyDescent="0.2">
      <c r="A13" t="s">
        <v>57</v>
      </c>
      <c r="B13">
        <v>1822</v>
      </c>
      <c r="C13">
        <v>24</v>
      </c>
      <c r="D13">
        <v>36</v>
      </c>
      <c r="E13" s="28">
        <v>10.253</v>
      </c>
      <c r="F13" s="28">
        <v>10.691000000000001</v>
      </c>
    </row>
    <row r="14" spans="1:6" x14ac:dyDescent="0.2">
      <c r="A14" t="s">
        <v>47</v>
      </c>
      <c r="B14">
        <v>554</v>
      </c>
      <c r="C14">
        <v>40</v>
      </c>
      <c r="D14">
        <v>40</v>
      </c>
      <c r="E14" s="28">
        <v>11.167999999999999</v>
      </c>
      <c r="F14" s="28">
        <v>10.784000000000001</v>
      </c>
    </row>
    <row r="15" spans="1:6" x14ac:dyDescent="0.2">
      <c r="A15" t="s">
        <v>56</v>
      </c>
      <c r="B15">
        <v>619</v>
      </c>
      <c r="C15">
        <v>24</v>
      </c>
      <c r="D15">
        <v>36</v>
      </c>
      <c r="E15" s="28">
        <v>10.948</v>
      </c>
      <c r="F15" s="28">
        <v>11.016</v>
      </c>
    </row>
    <row r="16" spans="1:6" x14ac:dyDescent="0.2">
      <c r="A16" t="s">
        <v>46</v>
      </c>
      <c r="B16">
        <v>1070</v>
      </c>
      <c r="C16">
        <v>40</v>
      </c>
      <c r="D16">
        <v>40</v>
      </c>
      <c r="E16" s="28">
        <v>12.433</v>
      </c>
      <c r="F16" s="28">
        <v>11.766999999999999</v>
      </c>
    </row>
    <row r="17" spans="1:6" x14ac:dyDescent="0.2">
      <c r="A17" t="s">
        <v>55</v>
      </c>
      <c r="B17">
        <v>619</v>
      </c>
      <c r="C17">
        <v>24</v>
      </c>
      <c r="D17">
        <v>36</v>
      </c>
      <c r="E17" s="28">
        <v>12.699</v>
      </c>
      <c r="F17" s="28">
        <v>12.255000000000001</v>
      </c>
    </row>
    <row r="18" spans="1:6" x14ac:dyDescent="0.2">
      <c r="A18" t="s">
        <v>54</v>
      </c>
      <c r="B18">
        <v>657</v>
      </c>
      <c r="C18">
        <v>2</v>
      </c>
      <c r="D18">
        <v>2</v>
      </c>
      <c r="E18" s="28">
        <v>15.5627</v>
      </c>
      <c r="F18" s="28">
        <v>12.784000000000001</v>
      </c>
    </row>
    <row r="19" spans="1:6" x14ac:dyDescent="0.2">
      <c r="A19" t="s">
        <v>220</v>
      </c>
      <c r="B19">
        <v>657</v>
      </c>
      <c r="C19">
        <v>8</v>
      </c>
      <c r="D19">
        <v>8</v>
      </c>
      <c r="E19" s="28">
        <v>14.528</v>
      </c>
      <c r="F19" s="28">
        <v>12.987</v>
      </c>
    </row>
    <row r="20" spans="1:6" x14ac:dyDescent="0.2">
      <c r="A20" t="s">
        <v>221</v>
      </c>
      <c r="B20">
        <v>657</v>
      </c>
      <c r="C20">
        <v>8</v>
      </c>
      <c r="D20">
        <v>8</v>
      </c>
      <c r="E20" s="28">
        <v>14.528</v>
      </c>
      <c r="F20" s="28">
        <v>12.987</v>
      </c>
    </row>
    <row r="22" spans="1:6" x14ac:dyDescent="0.2">
      <c r="A22" t="s">
        <v>222</v>
      </c>
    </row>
    <row r="23" spans="1:6" x14ac:dyDescent="0.2">
      <c r="A23">
        <v>65535</v>
      </c>
      <c r="B23" s="25" t="s">
        <v>223</v>
      </c>
    </row>
    <row r="24" spans="1:6" x14ac:dyDescent="0.2">
      <c r="A24" t="s">
        <v>224</v>
      </c>
    </row>
    <row r="25" spans="1:6" x14ac:dyDescent="0.2">
      <c r="A25" t="s">
        <v>225</v>
      </c>
    </row>
    <row r="26" spans="1:6" x14ac:dyDescent="0.2">
      <c r="A26" t="s">
        <v>68</v>
      </c>
    </row>
    <row r="27" spans="1:6" x14ac:dyDescent="0.2">
      <c r="A27" t="s">
        <v>67</v>
      </c>
    </row>
    <row r="28" spans="1:6" x14ac:dyDescent="0.2">
      <c r="A28" t="s">
        <v>64</v>
      </c>
    </row>
    <row r="29" spans="1:6" x14ac:dyDescent="0.2">
      <c r="A29" t="s">
        <v>226</v>
      </c>
    </row>
    <row r="30" spans="1:6" x14ac:dyDescent="0.2">
      <c r="A30" t="s">
        <v>66</v>
      </c>
    </row>
    <row r="31" spans="1:6" x14ac:dyDescent="0.2">
      <c r="A31" t="s">
        <v>227</v>
      </c>
    </row>
    <row r="32" spans="1:6" x14ac:dyDescent="0.2">
      <c r="A32" t="s">
        <v>228</v>
      </c>
    </row>
    <row r="33" spans="1:2" x14ac:dyDescent="0.2">
      <c r="A33" t="s">
        <v>3</v>
      </c>
    </row>
    <row r="34" spans="1:2" x14ac:dyDescent="0.2">
      <c r="A34" t="s">
        <v>229</v>
      </c>
    </row>
    <row r="35" spans="1:2" x14ac:dyDescent="0.2">
      <c r="A35" t="s">
        <v>65</v>
      </c>
      <c r="B35" s="25" t="s">
        <v>230</v>
      </c>
    </row>
  </sheetData>
  <sheetProtection sheet="1" objects="1" scenarios="1"/>
  <phoneticPr fontId="9"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86039-5960-4094-B6C8-367A6A1AD5C0}">
  <sheetPr codeName="Sheet8"/>
  <dimension ref="A1:M218"/>
  <sheetViews>
    <sheetView workbookViewId="0">
      <pane xSplit="1" ySplit="3" topLeftCell="B28" activePane="bottomRight" state="frozenSplit"/>
      <selection activeCell="U9" activeCellId="36" sqref="AG62 A21:IV21 N9 N14 N15 N25:O25 M21 A22:IV22 A22:IV22 A21:IV21 L22 N24 A21:IV21 X15 X15 A22:IV22 I31 J31 K31 L31 L33:L34 K35:K36 J37 K39:L39 M40 N39:N40 O38 O35:O37 N32:O35 N32 M31 L31:M31 L32:O38 O9 P9 Y9 S9:U9"/>
      <selection pane="topRight" activeCell="U9" activeCellId="36" sqref="AG62 A21:IV21 N9 N14 N15 N25:O25 M21 A22:IV22 A22:IV22 A21:IV21 L22 N24 A21:IV21 X15 X15 A22:IV22 I31 J31 K31 L31 L33:L34 K35:K36 J37 K39:L39 M40 N39:N40 O38 O35:O37 N32:O35 N32 M31 L31:M31 L32:O38 O9 P9 Y9 S9:U9"/>
      <selection pane="bottomLeft" activeCell="U9" activeCellId="36" sqref="AG62 A21:IV21 N9 N14 N15 N25:O25 M21 A22:IV22 A22:IV22 A21:IV21 L22 N24 A21:IV21 X15 X15 A22:IV22 I31 J31 K31 L31 L33:L34 K35:K36 J37 K39:L39 M40 N39:N40 O38 O35:O37 N32:O35 N32 M31 L31:M31 L32:O38 O9 P9 Y9 S9:U9"/>
      <selection pane="bottomRight" activeCell="I31" sqref="I31"/>
    </sheetView>
  </sheetViews>
  <sheetFormatPr defaultRowHeight="12.75" x14ac:dyDescent="0.2"/>
  <cols>
    <col min="1" max="1" width="10.7109375" customWidth="1"/>
    <col min="2" max="4" width="11.7109375" style="26" customWidth="1"/>
    <col min="5" max="6" width="13" style="26" customWidth="1"/>
    <col min="7" max="8" width="9.28515625" style="26" customWidth="1"/>
    <col min="9" max="9" width="14" style="26" customWidth="1"/>
    <col min="10" max="10" width="7.42578125" style="26" customWidth="1"/>
    <col min="11" max="13" width="12.28515625" style="26" customWidth="1"/>
  </cols>
  <sheetData>
    <row r="1" spans="1:13" x14ac:dyDescent="0.2">
      <c r="B1" s="26" t="s">
        <v>231</v>
      </c>
      <c r="J1" s="26" t="s">
        <v>54</v>
      </c>
      <c r="K1" s="26" t="s">
        <v>94</v>
      </c>
    </row>
    <row r="2" spans="1:13" x14ac:dyDescent="0.2">
      <c r="B2" t="s">
        <v>46</v>
      </c>
      <c r="C2" t="s">
        <v>47</v>
      </c>
      <c r="D2" t="s">
        <v>48</v>
      </c>
      <c r="E2" t="s">
        <v>49</v>
      </c>
      <c r="F2" t="s">
        <v>50</v>
      </c>
      <c r="G2" t="s">
        <v>51</v>
      </c>
      <c r="H2" t="s">
        <v>52</v>
      </c>
      <c r="I2" t="s">
        <v>53</v>
      </c>
      <c r="J2" t="s">
        <v>54</v>
      </c>
      <c r="K2" t="s">
        <v>55</v>
      </c>
      <c r="L2" t="s">
        <v>56</v>
      </c>
      <c r="M2" t="s">
        <v>57</v>
      </c>
    </row>
    <row r="3" spans="1:13" x14ac:dyDescent="0.2">
      <c r="A3" t="s">
        <v>212</v>
      </c>
      <c r="B3" s="26" t="s">
        <v>232</v>
      </c>
      <c r="C3" s="26" t="s">
        <v>233</v>
      </c>
      <c r="D3" s="26" t="s">
        <v>234</v>
      </c>
      <c r="E3" s="26" t="s">
        <v>235</v>
      </c>
      <c r="F3" s="26" t="s">
        <v>236</v>
      </c>
      <c r="G3" s="26" t="s">
        <v>51</v>
      </c>
      <c r="H3" s="26" t="s">
        <v>52</v>
      </c>
      <c r="I3" s="26" t="s">
        <v>237</v>
      </c>
      <c r="J3" s="26" t="s">
        <v>54</v>
      </c>
      <c r="K3" s="26" t="s">
        <v>238</v>
      </c>
      <c r="L3" s="26" t="s">
        <v>239</v>
      </c>
      <c r="M3" s="26" t="s">
        <v>240</v>
      </c>
    </row>
    <row r="4" spans="1:13" x14ac:dyDescent="0.2">
      <c r="A4">
        <v>1</v>
      </c>
      <c r="B4" s="26">
        <v>54.562989999999999</v>
      </c>
      <c r="C4" s="26">
        <v>57.405300000000004</v>
      </c>
      <c r="D4" s="26">
        <v>108.46300000000001</v>
      </c>
      <c r="E4" s="26">
        <v>157.39675700000001</v>
      </c>
      <c r="F4" s="26">
        <v>157.39675700000001</v>
      </c>
      <c r="G4" s="26">
        <v>251.97104549999997</v>
      </c>
      <c r="H4" s="26">
        <v>251.97104549999997</v>
      </c>
      <c r="I4" s="26">
        <v>472.89110364999993</v>
      </c>
      <c r="J4" s="26">
        <v>273.79654959999999</v>
      </c>
      <c r="K4" s="26">
        <v>84.465546999999987</v>
      </c>
      <c r="L4" s="26">
        <v>101.264546</v>
      </c>
      <c r="M4" s="26">
        <v>101.6345</v>
      </c>
    </row>
    <row r="5" spans="1:13" x14ac:dyDescent="0.2">
      <c r="A5">
        <v>2</v>
      </c>
      <c r="B5" s="26">
        <v>32.535980000000002</v>
      </c>
      <c r="C5" s="26">
        <v>33.360599999999998</v>
      </c>
      <c r="D5" s="26">
        <v>58.141000000000005</v>
      </c>
      <c r="E5" s="26">
        <v>83.500354000000002</v>
      </c>
      <c r="F5" s="26">
        <v>83.500354000000002</v>
      </c>
      <c r="G5" s="26">
        <v>128.83769100000001</v>
      </c>
      <c r="H5" s="26">
        <v>128.83769100000001</v>
      </c>
      <c r="I5" s="26">
        <v>239.16840729999998</v>
      </c>
      <c r="J5" s="26">
        <v>140.22539919999997</v>
      </c>
      <c r="K5" s="26">
        <v>46.513294000000002</v>
      </c>
      <c r="L5" s="26">
        <v>53.191991999999999</v>
      </c>
      <c r="M5" s="26">
        <v>54.744000000000007</v>
      </c>
    </row>
    <row r="6" spans="1:13" x14ac:dyDescent="0.2">
      <c r="A6">
        <v>3</v>
      </c>
      <c r="B6" s="26">
        <v>25.195636666666669</v>
      </c>
      <c r="C6" s="26">
        <v>25.349233333333334</v>
      </c>
      <c r="D6" s="26">
        <v>41.375666666666667</v>
      </c>
      <c r="E6" s="26">
        <v>58.880617666666666</v>
      </c>
      <c r="F6" s="26">
        <v>58.880617666666666</v>
      </c>
      <c r="G6" s="26">
        <v>87.801003166666661</v>
      </c>
      <c r="H6" s="26">
        <v>87.801003166666661</v>
      </c>
      <c r="I6" s="26">
        <v>161.26571095</v>
      </c>
      <c r="J6" s="26">
        <v>95.724248799999998</v>
      </c>
      <c r="K6" s="26">
        <v>33.893374333333334</v>
      </c>
      <c r="L6" s="26">
        <v>37.225438000000004</v>
      </c>
      <c r="M6" s="26">
        <v>39.1235</v>
      </c>
    </row>
    <row r="7" spans="1:13" x14ac:dyDescent="0.2">
      <c r="A7">
        <v>4</v>
      </c>
      <c r="B7" s="26">
        <v>21.526959999999999</v>
      </c>
      <c r="C7" s="26">
        <v>21.346200000000003</v>
      </c>
      <c r="D7" s="26">
        <v>32.999499999999998</v>
      </c>
      <c r="E7" s="26">
        <v>46.580048000000005</v>
      </c>
      <c r="F7" s="26">
        <v>46.580048000000005</v>
      </c>
      <c r="G7" s="26">
        <v>67.288482000000002</v>
      </c>
      <c r="H7" s="26">
        <v>67.288482000000002</v>
      </c>
      <c r="I7" s="26">
        <v>122.3180146</v>
      </c>
      <c r="J7" s="26">
        <v>73.490598399999996</v>
      </c>
      <c r="K7" s="26">
        <v>27.606538</v>
      </c>
      <c r="L7" s="26">
        <v>29.285383999999997</v>
      </c>
      <c r="M7" s="26">
        <v>31.320499999999999</v>
      </c>
    </row>
    <row r="8" spans="1:13" x14ac:dyDescent="0.2">
      <c r="A8">
        <v>5</v>
      </c>
      <c r="B8" s="26">
        <v>19.32695</v>
      </c>
      <c r="C8" s="26">
        <v>18.946499999999997</v>
      </c>
      <c r="D8" s="26">
        <v>27.978999999999996</v>
      </c>
      <c r="E8" s="26">
        <v>39.207145000000004</v>
      </c>
      <c r="F8" s="26">
        <v>39.207145000000004</v>
      </c>
      <c r="G8" s="26">
        <v>54.9856275</v>
      </c>
      <c r="H8" s="26">
        <v>54.9856275</v>
      </c>
      <c r="I8" s="26">
        <v>98.95231824999999</v>
      </c>
      <c r="J8" s="26">
        <v>60.163948000000005</v>
      </c>
      <c r="K8" s="26">
        <v>23.852934999999999</v>
      </c>
      <c r="L8" s="26">
        <v>24.55593</v>
      </c>
      <c r="M8" s="26">
        <v>26.644500000000004</v>
      </c>
    </row>
    <row r="9" spans="1:13" x14ac:dyDescent="0.2">
      <c r="A9">
        <v>6</v>
      </c>
      <c r="B9" s="26">
        <v>17.861273333333333</v>
      </c>
      <c r="C9" s="26">
        <v>17.348466666666667</v>
      </c>
      <c r="D9" s="26">
        <v>24.636333333333329</v>
      </c>
      <c r="E9" s="26">
        <v>34.298075333333337</v>
      </c>
      <c r="F9" s="26">
        <v>34.298075333333337</v>
      </c>
      <c r="G9" s="26">
        <v>46.787606333333336</v>
      </c>
      <c r="H9" s="26">
        <v>46.787606333333336</v>
      </c>
      <c r="I9" s="26">
        <v>83.377621899999994</v>
      </c>
      <c r="J9" s="26">
        <v>51.290797599999991</v>
      </c>
      <c r="K9" s="26">
        <v>21.365948666666668</v>
      </c>
      <c r="L9" s="26">
        <v>21.431775999999999</v>
      </c>
      <c r="M9" s="26">
        <v>23.532</v>
      </c>
    </row>
    <row r="10" spans="1:13" x14ac:dyDescent="0.2">
      <c r="A10">
        <v>7</v>
      </c>
      <c r="B10" s="26">
        <v>16.815215714285717</v>
      </c>
      <c r="C10" s="26">
        <v>16.208528571428573</v>
      </c>
      <c r="D10" s="26">
        <v>22.25242857142857</v>
      </c>
      <c r="E10" s="26">
        <v>30.796910428571429</v>
      </c>
      <c r="F10" s="26">
        <v>30.796910428571429</v>
      </c>
      <c r="G10" s="26">
        <v>40.935204214285712</v>
      </c>
      <c r="H10" s="26">
        <v>40.935204214285712</v>
      </c>
      <c r="I10" s="26">
        <v>72.25492555000001</v>
      </c>
      <c r="J10" s="26">
        <v>44.962504342857137</v>
      </c>
      <c r="K10" s="26">
        <v>19.602743285714286</v>
      </c>
      <c r="L10" s="26">
        <v>19.224936285714282</v>
      </c>
      <c r="M10" s="26">
        <v>21.312928571428568</v>
      </c>
    </row>
    <row r="11" spans="1:13" x14ac:dyDescent="0.2">
      <c r="A11">
        <v>8</v>
      </c>
      <c r="B11" s="26">
        <v>16.031420000000001</v>
      </c>
      <c r="C11" s="26">
        <v>15.354900000000001</v>
      </c>
      <c r="D11" s="26">
        <v>20.467749999999999</v>
      </c>
      <c r="E11" s="26">
        <v>30.796910428571429</v>
      </c>
      <c r="F11" s="26">
        <v>30.796910428571429</v>
      </c>
      <c r="G11" s="26">
        <v>40.935204214285712</v>
      </c>
      <c r="H11" s="26">
        <v>40.935204214285712</v>
      </c>
      <c r="I11" s="26">
        <v>72.25492555000001</v>
      </c>
      <c r="J11" s="26">
        <v>44.962504342857137</v>
      </c>
      <c r="K11" s="26">
        <v>19.602743285714286</v>
      </c>
      <c r="L11" s="26">
        <v>19.224936285714282</v>
      </c>
      <c r="M11" s="26">
        <v>19.652249999999999</v>
      </c>
    </row>
    <row r="12" spans="1:13" x14ac:dyDescent="0.2">
      <c r="A12">
        <v>9</v>
      </c>
      <c r="B12" s="26">
        <v>15.422465555555554</v>
      </c>
      <c r="C12" s="26">
        <v>14.692144444444446</v>
      </c>
      <c r="D12" s="26">
        <v>19.082555555555555</v>
      </c>
      <c r="E12" s="26">
        <v>26.141088555555555</v>
      </c>
      <c r="F12" s="26">
        <v>26.141088555555555</v>
      </c>
      <c r="G12" s="26">
        <v>33.139765055555557</v>
      </c>
      <c r="H12" s="26">
        <v>33.139765055555557</v>
      </c>
      <c r="I12" s="26">
        <v>57.429532850000001</v>
      </c>
      <c r="J12" s="26">
        <v>36.547346400000002</v>
      </c>
      <c r="K12" s="26">
        <v>17.282634111111111</v>
      </c>
      <c r="L12" s="26">
        <v>16.340114</v>
      </c>
      <c r="M12" s="26">
        <v>18.363833333333332</v>
      </c>
    </row>
    <row r="13" spans="1:13" x14ac:dyDescent="0.2">
      <c r="A13">
        <v>10</v>
      </c>
      <c r="B13" s="26">
        <v>14.9359</v>
      </c>
      <c r="C13" s="26">
        <v>14.163</v>
      </c>
      <c r="D13" s="26">
        <v>17.977</v>
      </c>
      <c r="E13" s="26">
        <v>24.517130000000002</v>
      </c>
      <c r="F13" s="26">
        <v>24.517130000000002</v>
      </c>
      <c r="G13" s="26">
        <v>30.414854999999999</v>
      </c>
      <c r="H13" s="26">
        <v>30.414854999999999</v>
      </c>
      <c r="I13" s="26">
        <v>52.242836499999996</v>
      </c>
      <c r="J13" s="26">
        <v>33.612195999999997</v>
      </c>
      <c r="K13" s="26">
        <v>16.484469999999998</v>
      </c>
      <c r="L13" s="26">
        <v>15.356359999999999</v>
      </c>
      <c r="M13" s="26">
        <v>17.335999999999999</v>
      </c>
    </row>
    <row r="14" spans="1:13" x14ac:dyDescent="0.2">
      <c r="A14">
        <v>11</v>
      </c>
      <c r="B14" s="26">
        <v>14.538344545454548</v>
      </c>
      <c r="C14" s="26">
        <v>13.731027272727273</v>
      </c>
      <c r="D14" s="26">
        <v>17.074818181818184</v>
      </c>
      <c r="E14" s="26">
        <v>23.191817909090908</v>
      </c>
      <c r="F14" s="26">
        <v>23.191817909090908</v>
      </c>
      <c r="G14" s="26">
        <v>28.187500499999999</v>
      </c>
      <c r="H14" s="26">
        <v>28.187500499999999</v>
      </c>
      <c r="I14" s="26">
        <v>48.000503786363645</v>
      </c>
      <c r="J14" s="26">
        <v>31.21686378181818</v>
      </c>
      <c r="K14" s="26">
        <v>15.839835181818181</v>
      </c>
      <c r="L14" s="26">
        <v>14.56718781818182</v>
      </c>
      <c r="M14" s="26">
        <v>16.497681818181817</v>
      </c>
    </row>
    <row r="15" spans="1:13" x14ac:dyDescent="0.2">
      <c r="A15">
        <v>12</v>
      </c>
      <c r="B15" s="26">
        <v>14.207546666666667</v>
      </c>
      <c r="C15" s="26">
        <v>13.371933333333336</v>
      </c>
      <c r="D15" s="26">
        <v>16.325166666666664</v>
      </c>
      <c r="E15" s="26">
        <v>22.090490666666668</v>
      </c>
      <c r="F15" s="26">
        <v>22.090490666666668</v>
      </c>
      <c r="G15" s="26">
        <v>26.333312666666671</v>
      </c>
      <c r="H15" s="26">
        <v>26.333312666666671</v>
      </c>
      <c r="I15" s="26">
        <v>44.4664438</v>
      </c>
      <c r="J15" s="26">
        <v>29.226395199999999</v>
      </c>
      <c r="K15" s="26">
        <v>15.310347333333333</v>
      </c>
      <c r="L15" s="26">
        <v>13.923952000000002</v>
      </c>
      <c r="M15" s="26">
        <v>15.801499999999999</v>
      </c>
    </row>
    <row r="16" spans="1:13" x14ac:dyDescent="0.2">
      <c r="A16">
        <v>13</v>
      </c>
      <c r="B16" s="26">
        <v>13.92810076923077</v>
      </c>
      <c r="C16" s="26">
        <v>13.068900000000001</v>
      </c>
      <c r="D16" s="26">
        <v>15.692846153846155</v>
      </c>
      <c r="E16" s="26">
        <v>21.161459461538463</v>
      </c>
      <c r="F16" s="26">
        <v>21.161459461538463</v>
      </c>
      <c r="G16" s="26">
        <v>24.766176115384617</v>
      </c>
      <c r="H16" s="26">
        <v>24.766176115384617</v>
      </c>
      <c r="I16" s="26">
        <v>41.477208988461534</v>
      </c>
      <c r="J16" s="26">
        <v>27.547360184615382</v>
      </c>
      <c r="K16" s="26">
        <v>14.869434076923076</v>
      </c>
      <c r="L16" s="26">
        <v>13.392974923076924</v>
      </c>
      <c r="M16" s="26">
        <v>15.214653846153848</v>
      </c>
    </row>
    <row r="17" spans="1:13" x14ac:dyDescent="0.2">
      <c r="A17">
        <v>14</v>
      </c>
      <c r="B17" s="26">
        <v>13.689002857142857</v>
      </c>
      <c r="C17" s="26">
        <v>12.809914285714287</v>
      </c>
      <c r="D17" s="26">
        <v>15.152714285714286</v>
      </c>
      <c r="E17" s="26">
        <v>20.367803714285714</v>
      </c>
      <c r="F17" s="26">
        <v>20.367803714285714</v>
      </c>
      <c r="G17" s="26">
        <v>23.424579857142856</v>
      </c>
      <c r="H17" s="26">
        <v>23.424579857142856</v>
      </c>
      <c r="I17" s="26">
        <v>38.916051099999997</v>
      </c>
      <c r="J17" s="26">
        <v>26.11302297142857</v>
      </c>
      <c r="K17" s="26">
        <v>14.498115142857143</v>
      </c>
      <c r="L17" s="26">
        <v>12.950201142857143</v>
      </c>
      <c r="M17" s="26">
        <v>14.713714285714286</v>
      </c>
    </row>
    <row r="18" spans="1:13" x14ac:dyDescent="0.2">
      <c r="A18">
        <v>15</v>
      </c>
      <c r="B18" s="26">
        <v>13.482183333333333</v>
      </c>
      <c r="C18" s="26">
        <v>12.586166666666665</v>
      </c>
      <c r="D18" s="26">
        <v>14.686333333333334</v>
      </c>
      <c r="E18" s="26">
        <v>19.682448333333337</v>
      </c>
      <c r="F18" s="26">
        <v>19.682448333333337</v>
      </c>
      <c r="G18" s="26">
        <v>22.263415833333333</v>
      </c>
      <c r="H18" s="26">
        <v>22.263415833333333</v>
      </c>
      <c r="I18" s="26">
        <v>36.697354750000002</v>
      </c>
      <c r="J18" s="26">
        <v>24.874443999999997</v>
      </c>
      <c r="K18" s="26">
        <v>14.182471666666666</v>
      </c>
      <c r="L18" s="26">
        <v>12.57799</v>
      </c>
      <c r="M18" s="26">
        <v>14.281499999999998</v>
      </c>
    </row>
    <row r="19" spans="1:13" x14ac:dyDescent="0.2">
      <c r="A19">
        <v>16</v>
      </c>
      <c r="B19" s="26">
        <v>13.301590000000001</v>
      </c>
      <c r="C19" s="26">
        <v>12.39105</v>
      </c>
      <c r="D19" s="26">
        <v>14.279875000000001</v>
      </c>
      <c r="E19" s="26">
        <v>19.085086999999998</v>
      </c>
      <c r="F19" s="26">
        <v>19.085086999999998</v>
      </c>
      <c r="G19" s="26">
        <v>21.248853</v>
      </c>
      <c r="H19" s="26">
        <v>21.248853</v>
      </c>
      <c r="I19" s="26">
        <v>34.7569084</v>
      </c>
      <c r="J19" s="26">
        <v>23.794918599999995</v>
      </c>
      <c r="K19" s="26">
        <v>13.912064500000001</v>
      </c>
      <c r="L19" s="26">
        <v>12.263111</v>
      </c>
      <c r="M19" s="26">
        <v>13.905124999999998</v>
      </c>
    </row>
    <row r="20" spans="1:13" x14ac:dyDescent="0.2">
      <c r="A20">
        <v>17</v>
      </c>
      <c r="B20" s="26">
        <v>13.142594705882354</v>
      </c>
      <c r="C20" s="26">
        <v>12.219511764705883</v>
      </c>
      <c r="D20" s="26">
        <v>13.922764705882354</v>
      </c>
      <c r="E20" s="26">
        <v>18.560191352941178</v>
      </c>
      <c r="F20" s="26">
        <v>18.560191352941178</v>
      </c>
      <c r="G20" s="26">
        <v>20.355020558823529</v>
      </c>
      <c r="H20" s="26">
        <v>20.355020558823529</v>
      </c>
      <c r="I20" s="26">
        <v>33.045609108823527</v>
      </c>
      <c r="J20" s="26">
        <v>22.846378494117644</v>
      </c>
      <c r="K20" s="26">
        <v>13.678910764705885</v>
      </c>
      <c r="L20" s="26">
        <v>11.995446705882353</v>
      </c>
      <c r="M20" s="26">
        <v>13.574735294117644</v>
      </c>
    </row>
    <row r="21" spans="1:13" x14ac:dyDescent="0.2">
      <c r="A21">
        <v>18</v>
      </c>
      <c r="B21" s="26">
        <v>13.001597777777778</v>
      </c>
      <c r="C21" s="26">
        <v>12.067622222222221</v>
      </c>
      <c r="D21" s="26">
        <v>13.606777777777776</v>
      </c>
      <c r="E21" s="26">
        <v>18.095683777777776</v>
      </c>
      <c r="F21" s="26">
        <v>18.095683777777776</v>
      </c>
      <c r="G21" s="26">
        <v>19.561796777777779</v>
      </c>
      <c r="H21" s="26">
        <v>19.561796777777779</v>
      </c>
      <c r="I21" s="26">
        <v>31.525265699999995</v>
      </c>
      <c r="J21" s="26">
        <v>22.006992799999999</v>
      </c>
      <c r="K21" s="26">
        <v>13.476801555555557</v>
      </c>
      <c r="L21" s="26">
        <v>11.767128</v>
      </c>
      <c r="M21" s="26">
        <v>13.282666666666666</v>
      </c>
    </row>
    <row r="22" spans="1:13" x14ac:dyDescent="0.2">
      <c r="A22">
        <v>19</v>
      </c>
      <c r="B22" s="26">
        <v>12.875757368421052</v>
      </c>
      <c r="C22" s="26">
        <v>11.932278947368422</v>
      </c>
      <c r="D22" s="26">
        <v>13.325421052631579</v>
      </c>
      <c r="E22" s="26">
        <v>17.682029315789475</v>
      </c>
      <c r="F22" s="26">
        <v>17.682029315789475</v>
      </c>
      <c r="G22" s="26">
        <v>18.85329607894737</v>
      </c>
      <c r="H22" s="26">
        <v>18.85329607894737</v>
      </c>
      <c r="I22" s="26">
        <v>30.165727244736839</v>
      </c>
      <c r="J22" s="26">
        <v>21.259526610526315</v>
      </c>
      <c r="K22" s="26">
        <v>13.300835105263156</v>
      </c>
      <c r="L22" s="26">
        <v>11.571942421052631</v>
      </c>
      <c r="M22" s="26">
        <v>13.02286842105263</v>
      </c>
    </row>
    <row r="23" spans="1:13" x14ac:dyDescent="0.2">
      <c r="A23">
        <v>20</v>
      </c>
      <c r="B23" s="26">
        <v>12.7628</v>
      </c>
      <c r="C23" s="26">
        <v>11.811</v>
      </c>
      <c r="D23" s="26">
        <v>13.073499999999999</v>
      </c>
      <c r="E23" s="26">
        <v>17.311599999999999</v>
      </c>
      <c r="F23" s="26">
        <v>17.311599999999999</v>
      </c>
      <c r="G23" s="26">
        <v>18.216810000000002</v>
      </c>
      <c r="H23" s="26">
        <v>18.216810000000002</v>
      </c>
      <c r="I23" s="26">
        <v>28.942872999999999</v>
      </c>
      <c r="J23" s="26">
        <v>20.590192000000002</v>
      </c>
      <c r="K23" s="26">
        <v>13.14709</v>
      </c>
      <c r="L23" s="26">
        <v>11.404919999999999</v>
      </c>
      <c r="M23" s="26">
        <v>12.7905</v>
      </c>
    </row>
    <row r="24" spans="1:13" x14ac:dyDescent="0.2">
      <c r="A24">
        <v>21</v>
      </c>
      <c r="B24" s="26">
        <v>12.660885238095236</v>
      </c>
      <c r="C24" s="26">
        <v>11.70177619047619</v>
      </c>
      <c r="D24" s="26">
        <v>12.846809523809524</v>
      </c>
      <c r="E24" s="26">
        <v>16.978220809523812</v>
      </c>
      <c r="F24" s="26">
        <v>16.978220809523812</v>
      </c>
      <c r="G24" s="26">
        <v>17.642050738095239</v>
      </c>
      <c r="H24" s="26">
        <v>17.642050738095239</v>
      </c>
      <c r="I24" s="26">
        <v>27.837176649999996</v>
      </c>
      <c r="J24" s="26">
        <v>19.987827314285713</v>
      </c>
      <c r="K24" s="26">
        <v>13.012391761904761</v>
      </c>
      <c r="L24" s="26">
        <v>11.262037428571428</v>
      </c>
      <c r="M24" s="26">
        <v>12.581642857142857</v>
      </c>
    </row>
    <row r="25" spans="1:13" x14ac:dyDescent="0.2">
      <c r="A25">
        <v>22</v>
      </c>
      <c r="B25" s="26">
        <v>12.568507272727272</v>
      </c>
      <c r="C25" s="26">
        <v>11.602963636363638</v>
      </c>
      <c r="D25" s="26">
        <v>12.641909090909088</v>
      </c>
      <c r="E25" s="26">
        <v>16.676839454545455</v>
      </c>
      <c r="F25" s="26">
        <v>16.676839454545455</v>
      </c>
      <c r="G25" s="26">
        <v>17.120600999999997</v>
      </c>
      <c r="H25" s="26">
        <v>17.120600999999997</v>
      </c>
      <c r="I25" s="26">
        <v>26.832662118181815</v>
      </c>
      <c r="J25" s="26">
        <v>19.44330029090909</v>
      </c>
      <c r="K25" s="26">
        <v>12.894143090909091</v>
      </c>
      <c r="L25" s="26">
        <v>11.14000290909091</v>
      </c>
      <c r="M25" s="26">
        <v>12.39309090909091</v>
      </c>
    </row>
    <row r="26" spans="1:13" x14ac:dyDescent="0.2">
      <c r="A26">
        <v>23</v>
      </c>
      <c r="B26" s="26">
        <v>12.484422173913043</v>
      </c>
      <c r="C26" s="26">
        <v>11.513204347826086</v>
      </c>
      <c r="D26" s="26">
        <v>12.455956521739131</v>
      </c>
      <c r="E26" s="26">
        <v>16.403282304347826</v>
      </c>
      <c r="F26" s="26">
        <v>16.403282304347826</v>
      </c>
      <c r="G26" s="26">
        <v>16.645507369565216</v>
      </c>
      <c r="H26" s="26">
        <v>16.645507369565216</v>
      </c>
      <c r="I26" s="26">
        <v>25.91613177608696</v>
      </c>
      <c r="J26" s="26">
        <v>18.949066886956523</v>
      </c>
      <c r="K26" s="26">
        <v>12.790198391304349</v>
      </c>
      <c r="L26" s="26">
        <v>11.036097130434783</v>
      </c>
      <c r="M26" s="26">
        <v>12.222195652173912</v>
      </c>
    </row>
    <row r="27" spans="1:13" x14ac:dyDescent="0.2">
      <c r="A27">
        <v>24</v>
      </c>
      <c r="B27" s="26">
        <v>12.407593333333333</v>
      </c>
      <c r="C27" s="26">
        <v>11.431366666666667</v>
      </c>
      <c r="D27" s="26">
        <v>12.286583333333333</v>
      </c>
      <c r="E27" s="26">
        <v>16.154071333333334</v>
      </c>
      <c r="F27" s="26">
        <v>16.154071333333334</v>
      </c>
      <c r="G27" s="26">
        <v>16.210975333333334</v>
      </c>
      <c r="H27" s="26">
        <v>16.210975333333334</v>
      </c>
      <c r="I27" s="26">
        <v>25.0765876</v>
      </c>
      <c r="J27" s="26">
        <v>18.498840399999999</v>
      </c>
      <c r="K27" s="26">
        <v>12.698769666666669</v>
      </c>
      <c r="L27" s="26">
        <v>10.948053999999999</v>
      </c>
      <c r="M27" s="26">
        <v>12.066749999999999</v>
      </c>
    </row>
    <row r="28" spans="1:13" x14ac:dyDescent="0.2">
      <c r="A28">
        <v>25</v>
      </c>
      <c r="B28" s="26">
        <v>12.337149999999999</v>
      </c>
      <c r="C28" s="26">
        <v>11.3565</v>
      </c>
      <c r="D28" s="26">
        <v>12.1318</v>
      </c>
      <c r="E28" s="26">
        <v>15.926285</v>
      </c>
      <c r="F28" s="26">
        <v>15.926285</v>
      </c>
      <c r="G28" s="26">
        <v>15.812137499999999</v>
      </c>
      <c r="H28" s="26">
        <v>15.812137499999999</v>
      </c>
      <c r="I28" s="26">
        <v>24.304791249999997</v>
      </c>
      <c r="J28" s="26">
        <v>18.087339999999998</v>
      </c>
      <c r="K28" s="26">
        <v>12.618355000000001</v>
      </c>
      <c r="L28" s="26">
        <v>10.87397</v>
      </c>
      <c r="M28" s="26">
        <v>11.924900000000001</v>
      </c>
    </row>
    <row r="29" spans="1:13" x14ac:dyDescent="0.2">
      <c r="A29">
        <v>26</v>
      </c>
      <c r="B29" s="26">
        <v>12.272355384615384</v>
      </c>
      <c r="C29" s="26">
        <v>11.287800000000002</v>
      </c>
      <c r="D29" s="26">
        <v>11.989923076923077</v>
      </c>
      <c r="E29" s="26">
        <v>15.71745123076923</v>
      </c>
      <c r="F29" s="26">
        <v>15.71745123076923</v>
      </c>
      <c r="G29" s="26">
        <v>15.444875307692307</v>
      </c>
      <c r="H29" s="26">
        <v>15.444875307692307</v>
      </c>
      <c r="I29" s="26">
        <v>23.59292566923077</v>
      </c>
      <c r="J29" s="26">
        <v>17.71009729230769</v>
      </c>
      <c r="K29" s="26">
        <v>12.547683538461539</v>
      </c>
      <c r="L29" s="26">
        <v>10.812234461538461</v>
      </c>
      <c r="M29" s="26">
        <v>11.795076923076923</v>
      </c>
    </row>
    <row r="30" spans="1:13" x14ac:dyDescent="0.2">
      <c r="A30">
        <v>27</v>
      </c>
      <c r="B30" s="26">
        <v>12.212581851851851</v>
      </c>
      <c r="C30" s="26">
        <v>11.224581481481483</v>
      </c>
      <c r="D30" s="26">
        <v>11.859518518518518</v>
      </c>
      <c r="E30" s="26">
        <v>15.525464185185184</v>
      </c>
      <c r="F30" s="26">
        <v>15.525464185185184</v>
      </c>
      <c r="G30" s="26">
        <v>15.105680351851852</v>
      </c>
      <c r="H30" s="26">
        <v>15.105680351851852</v>
      </c>
      <c r="I30" s="26">
        <v>22.934331883333332</v>
      </c>
      <c r="J30" s="26">
        <v>17.363305866666664</v>
      </c>
      <c r="K30" s="26">
        <v>12.485672703703703</v>
      </c>
      <c r="L30" s="26">
        <v>10.761475333333335</v>
      </c>
      <c r="M30" s="26">
        <v>11.675944444444442</v>
      </c>
    </row>
    <row r="31" spans="1:13" x14ac:dyDescent="0.2">
      <c r="A31">
        <v>28</v>
      </c>
      <c r="B31" s="26">
        <v>12.157291428571428</v>
      </c>
      <c r="C31" s="26">
        <v>11.166257142857145</v>
      </c>
      <c r="D31" s="26">
        <v>11.739357142857143</v>
      </c>
      <c r="E31" s="26">
        <v>15.348518857142858</v>
      </c>
      <c r="F31" s="26">
        <v>15.348518857142858</v>
      </c>
      <c r="G31" s="26">
        <v>14.791545428571427</v>
      </c>
      <c r="H31" s="26">
        <v>14.791545428571427</v>
      </c>
      <c r="I31" s="26">
        <v>22.323302199999997</v>
      </c>
      <c r="J31" s="26">
        <v>17.043703085714284</v>
      </c>
      <c r="K31" s="26">
        <v>12.431394571428571</v>
      </c>
      <c r="L31" s="26">
        <v>10.720516571428572</v>
      </c>
      <c r="M31" s="26">
        <v>11.566357142857143</v>
      </c>
    </row>
    <row r="32" spans="1:13" x14ac:dyDescent="0.2">
      <c r="A32">
        <v>29</v>
      </c>
      <c r="B32" s="26">
        <v>12.106020344827586</v>
      </c>
      <c r="C32" s="26">
        <v>11.112320689655174</v>
      </c>
      <c r="D32" s="26">
        <v>11.628379310344828</v>
      </c>
      <c r="E32" s="26">
        <v>15.185059206896552</v>
      </c>
      <c r="F32" s="26">
        <v>15.185059206896552</v>
      </c>
      <c r="G32" s="26">
        <v>14.499878120689655</v>
      </c>
      <c r="H32" s="26">
        <v>14.499878120689655</v>
      </c>
      <c r="I32" s="26">
        <v>21.754916194827583</v>
      </c>
      <c r="J32" s="26">
        <v>16.748476331034482</v>
      </c>
      <c r="K32" s="26">
        <v>12.384049206896552</v>
      </c>
      <c r="L32" s="26">
        <v>10.688344344827586</v>
      </c>
      <c r="M32" s="26">
        <v>11.465327586206895</v>
      </c>
    </row>
    <row r="33" spans="1:13" x14ac:dyDescent="0.2">
      <c r="A33">
        <v>30</v>
      </c>
      <c r="B33" s="26">
        <v>12.058366666666666</v>
      </c>
      <c r="C33" s="26">
        <v>11.062333333333333</v>
      </c>
      <c r="D33" s="26">
        <v>11.525666666666666</v>
      </c>
      <c r="E33" s="26">
        <v>15.033736666666668</v>
      </c>
      <c r="F33" s="26">
        <v>15.033736666666668</v>
      </c>
      <c r="G33" s="26">
        <v>14.228431666666667</v>
      </c>
      <c r="H33" s="26">
        <v>14.228431666666667</v>
      </c>
      <c r="I33" s="26">
        <v>21.224909500000003</v>
      </c>
      <c r="J33" s="26">
        <v>16.475187999999996</v>
      </c>
      <c r="K33" s="26">
        <v>12.342943333333332</v>
      </c>
      <c r="L33" s="26">
        <v>10.66408</v>
      </c>
      <c r="M33" s="26">
        <v>11.372000000000002</v>
      </c>
    </row>
    <row r="34" spans="1:13" x14ac:dyDescent="0.2">
      <c r="A34">
        <v>31</v>
      </c>
      <c r="B34" s="26">
        <v>12.013980322580645</v>
      </c>
      <c r="C34" s="26">
        <v>11.015912903225807</v>
      </c>
      <c r="D34" s="26">
        <v>11.43041935483871</v>
      </c>
      <c r="E34" s="26">
        <v>14.893376677419353</v>
      </c>
      <c r="F34" s="26">
        <v>14.893376677419353</v>
      </c>
      <c r="G34" s="26">
        <v>13.97524920967742</v>
      </c>
      <c r="H34" s="26">
        <v>13.97524920967742</v>
      </c>
      <c r="I34" s="26">
        <v>20.729567988709679</v>
      </c>
      <c r="J34" s="26">
        <v>16.221715019354839</v>
      </c>
      <c r="K34" s="26">
        <v>12.307473129032259</v>
      </c>
      <c r="L34" s="26">
        <v>10.646958258064515</v>
      </c>
      <c r="M34" s="26">
        <v>11.285629032258063</v>
      </c>
    </row>
    <row r="35" spans="1:13" x14ac:dyDescent="0.2">
      <c r="A35">
        <v>32</v>
      </c>
      <c r="B35" s="26">
        <v>11.972555</v>
      </c>
      <c r="C35" s="26">
        <v>10.972725000000002</v>
      </c>
      <c r="D35" s="26">
        <v>11.3419375</v>
      </c>
      <c r="E35" s="26">
        <v>14.7629515</v>
      </c>
      <c r="F35" s="26">
        <v>14.7629515</v>
      </c>
      <c r="G35" s="26">
        <v>13.738618499999999</v>
      </c>
      <c r="H35" s="26">
        <v>13.738618499999999</v>
      </c>
      <c r="I35" s="26">
        <v>20.265641800000001</v>
      </c>
      <c r="J35" s="26">
        <v>15.986199699999998</v>
      </c>
      <c r="K35" s="26">
        <v>12.27711025</v>
      </c>
      <c r="L35" s="26">
        <v>10.636309499999999</v>
      </c>
      <c r="M35" s="26">
        <v>11.205562500000001</v>
      </c>
    </row>
    <row r="36" spans="1:13" x14ac:dyDescent="0.2">
      <c r="A36">
        <v>33</v>
      </c>
      <c r="B36" s="26">
        <v>11.933821515151514</v>
      </c>
      <c r="C36" s="26">
        <v>10.932475757575759</v>
      </c>
      <c r="D36" s="26">
        <v>11.25960606060606</v>
      </c>
      <c r="E36" s="26">
        <v>14.641557969696969</v>
      </c>
      <c r="F36" s="26">
        <v>14.641557969696969</v>
      </c>
      <c r="G36" s="26">
        <v>13.517034833333332</v>
      </c>
      <c r="H36" s="26">
        <v>13.517034833333332</v>
      </c>
      <c r="I36" s="26">
        <v>19.830274995454545</v>
      </c>
      <c r="J36" s="26">
        <v>15.767009527272725</v>
      </c>
      <c r="K36" s="26">
        <v>12.251390393939394</v>
      </c>
      <c r="L36" s="26">
        <v>10.631545272727273</v>
      </c>
      <c r="M36" s="26">
        <v>11.131227272727273</v>
      </c>
    </row>
    <row r="37" spans="1:13" x14ac:dyDescent="0.2">
      <c r="A37">
        <v>34</v>
      </c>
      <c r="B37" s="26">
        <v>11.897542352941176</v>
      </c>
      <c r="C37" s="26">
        <v>10.894905882352944</v>
      </c>
      <c r="D37" s="26">
        <v>11.182882352941178</v>
      </c>
      <c r="E37" s="26">
        <v>14.528399176470588</v>
      </c>
      <c r="F37" s="26">
        <v>14.528399176470588</v>
      </c>
      <c r="G37" s="26">
        <v>13.309170529411764</v>
      </c>
      <c r="H37" s="26">
        <v>13.309170529411764</v>
      </c>
      <c r="I37" s="26">
        <v>19.420947629411764</v>
      </c>
      <c r="J37" s="26">
        <v>15.562704047058824</v>
      </c>
      <c r="K37" s="26">
        <v>12.229903882352941</v>
      </c>
      <c r="L37" s="26">
        <v>10.632146352941177</v>
      </c>
      <c r="M37" s="26">
        <v>11.062117647058823</v>
      </c>
    </row>
    <row r="38" spans="1:13" x14ac:dyDescent="0.2">
      <c r="A38">
        <v>35</v>
      </c>
      <c r="B38" s="26">
        <v>11.863507142857143</v>
      </c>
      <c r="C38" s="26">
        <v>10.859785714285715</v>
      </c>
      <c r="D38" s="26">
        <v>11.111285714285716</v>
      </c>
      <c r="E38" s="26">
        <v>14.422769285714283</v>
      </c>
      <c r="F38" s="26">
        <v>14.422769285714283</v>
      </c>
      <c r="G38" s="26">
        <v>13.113849642857142</v>
      </c>
      <c r="H38" s="26">
        <v>13.113849642857142</v>
      </c>
      <c r="I38" s="26">
        <v>19.03542775</v>
      </c>
      <c r="J38" s="26">
        <v>15.372007428571429</v>
      </c>
      <c r="K38" s="26">
        <v>12.212287857142858</v>
      </c>
      <c r="L38" s="26">
        <v>10.637652857142855</v>
      </c>
      <c r="M38" s="26">
        <v>10.997785714285714</v>
      </c>
    </row>
    <row r="39" spans="1:13" x14ac:dyDescent="0.2">
      <c r="A39">
        <v>36</v>
      </c>
      <c r="B39" s="26">
        <v>11.83152888888889</v>
      </c>
      <c r="C39" s="26">
        <v>10.826911111111112</v>
      </c>
      <c r="D39" s="26">
        <v>11.044388888888889</v>
      </c>
      <c r="E39" s="26">
        <v>14.32404088888889</v>
      </c>
      <c r="F39" s="26">
        <v>14.32404088888889</v>
      </c>
      <c r="G39" s="26">
        <v>12.930026888888891</v>
      </c>
      <c r="H39" s="26">
        <v>12.930026888888891</v>
      </c>
      <c r="I39" s="26">
        <v>18.671731399999999</v>
      </c>
      <c r="J39" s="26">
        <v>15.1937856</v>
      </c>
      <c r="K39" s="26">
        <v>12.198219777777778</v>
      </c>
      <c r="L39" s="26">
        <v>10.647656000000001</v>
      </c>
      <c r="M39" s="26">
        <v>10.937833333333332</v>
      </c>
    </row>
    <row r="40" spans="1:13" x14ac:dyDescent="0.2">
      <c r="A40">
        <v>37</v>
      </c>
      <c r="B40" s="26">
        <v>11.80144081081081</v>
      </c>
      <c r="C40" s="26">
        <v>10.796100000000001</v>
      </c>
      <c r="D40" s="26">
        <v>10.981810810810812</v>
      </c>
      <c r="E40" s="26">
        <v>14.231654405405404</v>
      </c>
      <c r="F40" s="26">
        <v>14.231654405405404</v>
      </c>
      <c r="G40" s="26">
        <v>12.756769986486489</v>
      </c>
      <c r="H40" s="26">
        <v>12.756769986486489</v>
      </c>
      <c r="I40" s="26">
        <v>18.328089104054051</v>
      </c>
      <c r="J40" s="26">
        <v>15.027027091891892</v>
      </c>
      <c r="K40" s="26">
        <v>12.187411972972972</v>
      </c>
      <c r="L40" s="26">
        <v>10.661791189189188</v>
      </c>
      <c r="M40" s="26">
        <v>10.881905405405405</v>
      </c>
    </row>
    <row r="41" spans="1:13" x14ac:dyDescent="0.2">
      <c r="A41">
        <v>38</v>
      </c>
      <c r="B41" s="26">
        <v>11.773093684210528</v>
      </c>
      <c r="C41" s="26">
        <v>10.767189473684212</v>
      </c>
      <c r="D41" s="26">
        <v>10.92321052631579</v>
      </c>
      <c r="E41" s="26">
        <v>14.145109157894737</v>
      </c>
      <c r="F41" s="26">
        <v>14.145109157894737</v>
      </c>
      <c r="G41" s="26">
        <v>12.593244789473685</v>
      </c>
      <c r="H41" s="26">
        <v>12.593244789473685</v>
      </c>
      <c r="I41" s="26">
        <v>18.00291764736842</v>
      </c>
      <c r="J41" s="26">
        <v>14.870826905263156</v>
      </c>
      <c r="K41" s="26">
        <v>12.179607052631578</v>
      </c>
      <c r="L41" s="26">
        <v>10.679732210526316</v>
      </c>
      <c r="M41" s="26">
        <v>10.829684210526315</v>
      </c>
    </row>
    <row r="42" spans="1:13" x14ac:dyDescent="0.2">
      <c r="A42">
        <v>39</v>
      </c>
      <c r="B42" s="26">
        <v>11.74635358974359</v>
      </c>
      <c r="C42" s="26">
        <v>10.740033333333335</v>
      </c>
      <c r="D42" s="26">
        <v>10.868282051282053</v>
      </c>
      <c r="E42" s="26">
        <v>14.063955820512819</v>
      </c>
      <c r="F42" s="26">
        <v>14.063955820512819</v>
      </c>
      <c r="G42" s="26">
        <v>12.438702705128206</v>
      </c>
      <c r="H42" s="26">
        <v>12.438702705128206</v>
      </c>
      <c r="I42" s="26">
        <v>17.694796196153845</v>
      </c>
      <c r="J42" s="26">
        <v>14.724372861538463</v>
      </c>
      <c r="K42" s="26">
        <v>12.174574025641027</v>
      </c>
      <c r="L42" s="26">
        <v>10.701186307692309</v>
      </c>
      <c r="M42" s="26">
        <v>10.780884615384615</v>
      </c>
    </row>
    <row r="43" spans="1:13" x14ac:dyDescent="0.2">
      <c r="A43">
        <v>40</v>
      </c>
      <c r="B43" s="26">
        <v>11.7211</v>
      </c>
      <c r="C43" s="26">
        <v>10.714500000000001</v>
      </c>
      <c r="D43" s="26">
        <v>10.816750000000001</v>
      </c>
      <c r="E43" s="26">
        <v>13.987789999999999</v>
      </c>
      <c r="F43" s="26">
        <v>13.987789999999999</v>
      </c>
      <c r="G43" s="26">
        <v>12.29247</v>
      </c>
      <c r="H43" s="26">
        <v>12.29247</v>
      </c>
      <c r="I43" s="26">
        <v>17.402446000000001</v>
      </c>
      <c r="J43" s="26">
        <v>14.586933999999999</v>
      </c>
      <c r="K43" s="26">
        <v>12.172105</v>
      </c>
      <c r="L43" s="26">
        <v>10.725889999999998</v>
      </c>
      <c r="M43" s="26">
        <v>10.735249999999999</v>
      </c>
    </row>
    <row r="44" spans="1:13" x14ac:dyDescent="0.2">
      <c r="A44">
        <v>41</v>
      </c>
      <c r="B44" s="26">
        <v>11.697224146341464</v>
      </c>
      <c r="C44" s="26">
        <v>10.690470731707316</v>
      </c>
      <c r="D44" s="26">
        <v>10.768365853658537</v>
      </c>
      <c r="E44" s="26">
        <v>13.916246756097562</v>
      </c>
      <c r="F44" s="26">
        <v>13.916246756097562</v>
      </c>
      <c r="G44" s="26">
        <v>12.153938670731707</v>
      </c>
      <c r="H44" s="26">
        <v>12.153938670731707</v>
      </c>
      <c r="I44" s="26">
        <v>17.124713064634147</v>
      </c>
      <c r="J44" s="26">
        <v>14.45785067317073</v>
      </c>
      <c r="K44" s="26">
        <v>12.172012365853659</v>
      </c>
      <c r="L44" s="26">
        <v>10.753605512195122</v>
      </c>
      <c r="M44" s="26">
        <v>10.692548780487805</v>
      </c>
    </row>
    <row r="45" spans="1:13" x14ac:dyDescent="0.2">
      <c r="A45">
        <v>42</v>
      </c>
      <c r="B45" s="26">
        <v>11.674627619047619</v>
      </c>
      <c r="C45" s="26">
        <v>10.667838095238096</v>
      </c>
      <c r="D45" s="26">
        <v>10.722904761904763</v>
      </c>
      <c r="E45" s="26">
        <v>13.848995904761905</v>
      </c>
      <c r="F45" s="26">
        <v>13.848995904761905</v>
      </c>
      <c r="G45" s="26">
        <v>12.02255861904762</v>
      </c>
      <c r="H45" s="26">
        <v>12.02255861904762</v>
      </c>
      <c r="I45" s="26">
        <v>16.860553299999999</v>
      </c>
      <c r="J45" s="26">
        <v>14.336526057142853</v>
      </c>
      <c r="K45" s="26">
        <v>12.174126380952382</v>
      </c>
      <c r="L45" s="26">
        <v>10.784117714285715</v>
      </c>
      <c r="M45" s="26">
        <v>10.652571428571429</v>
      </c>
    </row>
    <row r="46" spans="1:13" x14ac:dyDescent="0.2">
      <c r="A46">
        <v>43</v>
      </c>
      <c r="B46" s="26">
        <v>11.653221162790697</v>
      </c>
      <c r="C46" s="26">
        <v>10.646504651162791</v>
      </c>
      <c r="D46" s="26">
        <v>10.680162790697675</v>
      </c>
      <c r="E46" s="26">
        <v>13.785737976744187</v>
      </c>
      <c r="F46" s="26">
        <v>13.785737976744187</v>
      </c>
      <c r="G46" s="26">
        <v>11.897830918604653</v>
      </c>
      <c r="H46" s="26">
        <v>11.897830918604653</v>
      </c>
      <c r="I46" s="26">
        <v>16.609019740697676</v>
      </c>
      <c r="J46" s="26">
        <v>14.222418846511626</v>
      </c>
      <c r="K46" s="26">
        <v>12.178293093023257</v>
      </c>
      <c r="L46" s="26">
        <v>10.817231488372093</v>
      </c>
      <c r="M46" s="26">
        <v>10.615127906976744</v>
      </c>
    </row>
    <row r="47" spans="1:13" x14ac:dyDescent="0.2">
      <c r="A47">
        <v>44</v>
      </c>
      <c r="B47" s="26">
        <v>11.632923636363635</v>
      </c>
      <c r="C47" s="26">
        <v>10.626381818181819</v>
      </c>
      <c r="D47" s="26">
        <v>10.639954545454545</v>
      </c>
      <c r="E47" s="26">
        <v>13.726200727272726</v>
      </c>
      <c r="F47" s="26">
        <v>13.726200727272726</v>
      </c>
      <c r="G47" s="26">
        <v>11.779302000000001</v>
      </c>
      <c r="H47" s="26">
        <v>11.779302000000001</v>
      </c>
      <c r="I47" s="26">
        <v>16.369251509090905</v>
      </c>
      <c r="J47" s="26">
        <v>14.115036945454547</v>
      </c>
      <c r="K47" s="26">
        <v>12.184372545454545</v>
      </c>
      <c r="L47" s="26">
        <v>10.852769454545454</v>
      </c>
      <c r="M47" s="26">
        <v>10.580045454545454</v>
      </c>
    </row>
    <row r="48" spans="1:13" x14ac:dyDescent="0.2">
      <c r="A48">
        <v>45</v>
      </c>
      <c r="B48" s="26">
        <v>11.61366111111111</v>
      </c>
      <c r="C48" s="26">
        <v>10.607388888888892</v>
      </c>
      <c r="D48" s="26">
        <v>10.602111111111112</v>
      </c>
      <c r="E48" s="26">
        <v>13.670136111111111</v>
      </c>
      <c r="F48" s="26">
        <v>13.670136111111111</v>
      </c>
      <c r="G48" s="26">
        <v>11.666558611111112</v>
      </c>
      <c r="H48" s="26">
        <v>11.666558611111112</v>
      </c>
      <c r="I48" s="26">
        <v>16.140464249999997</v>
      </c>
      <c r="J48" s="26">
        <v>14.013932</v>
      </c>
      <c r="K48" s="26">
        <v>12.192237222222222</v>
      </c>
      <c r="L48" s="26">
        <v>10.89057</v>
      </c>
      <c r="M48" s="26">
        <v>10.547166666666667</v>
      </c>
    </row>
    <row r="49" spans="1:13" x14ac:dyDescent="0.2">
      <c r="A49">
        <v>46</v>
      </c>
      <c r="B49" s="26">
        <v>11.595366086956519</v>
      </c>
      <c r="C49" s="26">
        <v>10.589452173913045</v>
      </c>
      <c r="D49" s="26">
        <v>10.566478260869564</v>
      </c>
      <c r="E49" s="26">
        <v>13.617317652173913</v>
      </c>
      <c r="F49" s="26">
        <v>13.617317652173913</v>
      </c>
      <c r="G49" s="26">
        <v>11.559223434782609</v>
      </c>
      <c r="H49" s="26">
        <v>11.559223434782609</v>
      </c>
      <c r="I49" s="26">
        <v>15.921941813043476</v>
      </c>
      <c r="J49" s="26">
        <v>13.918694643478261</v>
      </c>
      <c r="K49" s="26">
        <v>12.201770695652172</v>
      </c>
      <c r="L49" s="26">
        <v>10.930485565217392</v>
      </c>
      <c r="M49" s="26">
        <v>10.516347826086957</v>
      </c>
    </row>
    <row r="50" spans="1:13" x14ac:dyDescent="0.2">
      <c r="A50">
        <v>47</v>
      </c>
      <c r="B50" s="26">
        <v>11.577976808510638</v>
      </c>
      <c r="C50" s="26">
        <v>10.572504255319149</v>
      </c>
      <c r="D50" s="26">
        <v>10.532914893617022</v>
      </c>
      <c r="E50" s="26">
        <v>13.567538148936171</v>
      </c>
      <c r="F50" s="26">
        <v>13.567538148936171</v>
      </c>
      <c r="G50" s="26">
        <v>11.456951265957446</v>
      </c>
      <c r="H50" s="26">
        <v>11.456951265957446</v>
      </c>
      <c r="I50" s="26">
        <v>15.713028996808511</v>
      </c>
      <c r="J50" s="26">
        <v>13.828950348936168</v>
      </c>
      <c r="K50" s="26">
        <v>12.21286644680851</v>
      </c>
      <c r="L50" s="26">
        <v>10.97238114893617</v>
      </c>
      <c r="M50" s="26">
        <v>10.487457446808511</v>
      </c>
    </row>
    <row r="51" spans="1:13" x14ac:dyDescent="0.2">
      <c r="A51">
        <v>48</v>
      </c>
      <c r="B51" s="26">
        <v>11.561436666666665</v>
      </c>
      <c r="C51" s="26">
        <v>10.556483333333334</v>
      </c>
      <c r="D51" s="26">
        <v>10.501291666666667</v>
      </c>
      <c r="E51" s="26">
        <v>13.520607666666665</v>
      </c>
      <c r="F51" s="26">
        <v>13.520607666666665</v>
      </c>
      <c r="G51" s="26">
        <v>11.359425666666667</v>
      </c>
      <c r="H51" s="26">
        <v>11.359425666666667</v>
      </c>
      <c r="I51" s="26">
        <v>15.513125199999999</v>
      </c>
      <c r="J51" s="26">
        <v>13.744355799999999</v>
      </c>
      <c r="K51" s="26">
        <v>12.225426833333335</v>
      </c>
      <c r="L51" s="26">
        <v>11.016133000000002</v>
      </c>
      <c r="M51" s="26">
        <v>10.460375000000001</v>
      </c>
    </row>
    <row r="52" spans="1:13" x14ac:dyDescent="0.2">
      <c r="A52">
        <v>49</v>
      </c>
      <c r="B52" s="26">
        <v>11.545693673469387</v>
      </c>
      <c r="C52" s="26">
        <v>10.541332653061225</v>
      </c>
      <c r="D52" s="26">
        <v>10.471489795918369</v>
      </c>
      <c r="E52" s="26">
        <v>13.476351775510203</v>
      </c>
      <c r="F52" s="26">
        <v>13.476351775510203</v>
      </c>
      <c r="G52" s="26">
        <v>11.266356030612245</v>
      </c>
      <c r="H52" s="26">
        <v>11.266356030612245</v>
      </c>
      <c r="I52" s="26">
        <v>15.32167885</v>
      </c>
      <c r="J52" s="26">
        <v>13.664595706122448</v>
      </c>
      <c r="M52" s="26">
        <v>10.434989795918368</v>
      </c>
    </row>
    <row r="53" spans="1:13" x14ac:dyDescent="0.2">
      <c r="A53">
        <v>50</v>
      </c>
      <c r="B53" s="26">
        <v>11.5307</v>
      </c>
      <c r="C53" s="26">
        <v>10.527000000000001</v>
      </c>
      <c r="D53" s="26">
        <v>10.443400000000002</v>
      </c>
      <c r="E53" s="26">
        <v>13.434609999999997</v>
      </c>
      <c r="F53" s="26">
        <v>13.434609999999997</v>
      </c>
      <c r="G53" s="26">
        <v>11.177474999999999</v>
      </c>
      <c r="H53" s="26">
        <v>11.177474999999999</v>
      </c>
      <c r="I53" s="26">
        <v>15.138182500000001</v>
      </c>
      <c r="J53" s="26">
        <v>13.58938</v>
      </c>
      <c r="M53" s="26">
        <v>10.411199999999999</v>
      </c>
    </row>
    <row r="54" spans="1:13" x14ac:dyDescent="0.2">
      <c r="A54">
        <v>51</v>
      </c>
      <c r="B54" s="26">
        <v>11.516411568627449</v>
      </c>
      <c r="C54" s="26">
        <v>10.513437254901961</v>
      </c>
      <c r="D54" s="26">
        <v>10.416921568627451</v>
      </c>
      <c r="E54" s="26">
        <v>13.395234450980393</v>
      </c>
      <c r="F54" s="26">
        <v>13.395234450980393</v>
      </c>
      <c r="G54" s="26">
        <v>11.09253618627451</v>
      </c>
      <c r="H54" s="26">
        <v>11.09253618627451</v>
      </c>
      <c r="I54" s="26">
        <v>14.962168502941173</v>
      </c>
      <c r="J54" s="26">
        <v>13.518441364705883</v>
      </c>
      <c r="M54" s="26">
        <v>10.388911764705883</v>
      </c>
    </row>
    <row r="55" spans="1:13" x14ac:dyDescent="0.2">
      <c r="A55">
        <v>52</v>
      </c>
      <c r="B55" s="26">
        <v>11.502787692307692</v>
      </c>
      <c r="C55" s="26">
        <v>10.5006</v>
      </c>
      <c r="D55" s="26">
        <v>10.39196153846154</v>
      </c>
      <c r="E55" s="26">
        <v>13.358088615384615</v>
      </c>
      <c r="F55" s="26">
        <v>13.358088615384615</v>
      </c>
      <c r="G55" s="26">
        <v>11.011312153846152</v>
      </c>
      <c r="H55" s="26">
        <v>11.011312153846152</v>
      </c>
      <c r="I55" s="26">
        <v>14.793205184615383</v>
      </c>
      <c r="J55" s="26">
        <v>13.451533046153845</v>
      </c>
      <c r="M55" s="26">
        <v>10.368038461538463</v>
      </c>
    </row>
    <row r="56" spans="1:13" x14ac:dyDescent="0.2">
      <c r="A56">
        <v>53</v>
      </c>
      <c r="B56" s="26">
        <v>11.48979075471698</v>
      </c>
      <c r="C56" s="26">
        <v>10.488447169811321</v>
      </c>
      <c r="D56" s="26">
        <v>10.368433962264152</v>
      </c>
      <c r="E56" s="26">
        <v>13.323046283018867</v>
      </c>
      <c r="F56" s="26">
        <v>13.323046283018867</v>
      </c>
      <c r="G56" s="26">
        <v>10.93359263207547</v>
      </c>
      <c r="H56" s="26">
        <v>10.93359263207547</v>
      </c>
      <c r="I56" s="26">
        <v>14.630893449999999</v>
      </c>
      <c r="J56" s="26">
        <v>13.388426913207544</v>
      </c>
      <c r="M56" s="26">
        <v>10.3485</v>
      </c>
    </row>
    <row r="57" spans="1:13" x14ac:dyDescent="0.2">
      <c r="A57">
        <v>54</v>
      </c>
      <c r="B57" s="26">
        <v>11.477385925925924</v>
      </c>
      <c r="C57" s="26">
        <v>10.476940740740742</v>
      </c>
      <c r="D57" s="26">
        <v>10.346259259259259</v>
      </c>
      <c r="E57" s="26">
        <v>13.289990592592593</v>
      </c>
      <c r="F57" s="26">
        <v>13.289990592592593</v>
      </c>
      <c r="G57" s="26">
        <v>10.859182925925925</v>
      </c>
      <c r="H57" s="26">
        <v>10.859182925925925</v>
      </c>
      <c r="I57" s="26">
        <v>14.474863766666667</v>
      </c>
      <c r="J57" s="26">
        <v>13.328911733333333</v>
      </c>
      <c r="M57" s="26">
        <v>10.330222222222222</v>
      </c>
    </row>
    <row r="58" spans="1:13" x14ac:dyDescent="0.2">
      <c r="A58">
        <v>55</v>
      </c>
      <c r="B58" s="26">
        <v>11.465540909090908</v>
      </c>
      <c r="C58" s="26">
        <v>10.466045454545455</v>
      </c>
      <c r="D58" s="26">
        <v>10.325363636363639</v>
      </c>
      <c r="E58" s="26">
        <v>13.258813181818182</v>
      </c>
      <c r="F58" s="26">
        <v>13.258813181818182</v>
      </c>
      <c r="G58" s="26">
        <v>10.7879025</v>
      </c>
      <c r="H58" s="26">
        <v>10.7879025</v>
      </c>
      <c r="I58" s="26">
        <v>14.324773477272728</v>
      </c>
      <c r="J58" s="26">
        <v>13.272791636363637</v>
      </c>
      <c r="M58" s="26">
        <v>10.31313636363636</v>
      </c>
    </row>
    <row r="59" spans="1:13" x14ac:dyDescent="0.2">
      <c r="A59">
        <v>56</v>
      </c>
      <c r="B59" s="26">
        <v>11.454225714285712</v>
      </c>
      <c r="C59" s="26">
        <v>10.455728571428574</v>
      </c>
      <c r="D59" s="26">
        <v>10.305678571428572</v>
      </c>
      <c r="E59" s="26">
        <v>13.22941342857143</v>
      </c>
      <c r="F59" s="26">
        <v>13.22941342857143</v>
      </c>
      <c r="G59" s="26">
        <v>10.719583714285715</v>
      </c>
      <c r="H59" s="26">
        <v>10.719583714285715</v>
      </c>
      <c r="I59" s="26">
        <v>14.180304400000001</v>
      </c>
      <c r="J59" s="26">
        <v>13.219884742857143</v>
      </c>
      <c r="M59" s="26">
        <v>10.297178571428571</v>
      </c>
    </row>
    <row r="60" spans="1:13" x14ac:dyDescent="0.2">
      <c r="A60">
        <v>57</v>
      </c>
      <c r="B60" s="26">
        <v>11.443412456140351</v>
      </c>
      <c r="C60" s="26">
        <v>10.445959649122807</v>
      </c>
      <c r="D60" s="26">
        <v>10.287140350877193</v>
      </c>
      <c r="E60" s="26">
        <v>13.201697771929824</v>
      </c>
      <c r="F60" s="26">
        <v>13.201697771929824</v>
      </c>
      <c r="G60" s="26">
        <v>10.654070692982454</v>
      </c>
      <c r="H60" s="26">
        <v>10.654070692982454</v>
      </c>
      <c r="I60" s="26">
        <v>14.041160681578948</v>
      </c>
      <c r="J60" s="26">
        <v>13.170021936842105</v>
      </c>
      <c r="M60" s="26">
        <v>10.282289473684211</v>
      </c>
    </row>
    <row r="61" spans="1:13" x14ac:dyDescent="0.2">
      <c r="A61">
        <v>58</v>
      </c>
      <c r="B61" s="26">
        <v>11.433075172413792</v>
      </c>
      <c r="C61" s="26">
        <v>10.436710344827588</v>
      </c>
      <c r="D61" s="26">
        <v>10.269689655172412</v>
      </c>
      <c r="E61" s="26">
        <v>13.175579103448275</v>
      </c>
      <c r="F61" s="26">
        <v>13.175579103448275</v>
      </c>
      <c r="G61" s="26">
        <v>10.59121831034483</v>
      </c>
      <c r="H61" s="26">
        <v>10.59121831034483</v>
      </c>
      <c r="I61" s="26">
        <v>13.907066872413793</v>
      </c>
      <c r="J61" s="26">
        <v>13.12304576551724</v>
      </c>
      <c r="M61" s="26">
        <v>10.268413793103448</v>
      </c>
    </row>
    <row r="62" spans="1:13" x14ac:dyDescent="0.2">
      <c r="A62">
        <v>59</v>
      </c>
      <c r="B62" s="26">
        <v>11.423189661016949</v>
      </c>
      <c r="C62" s="26">
        <v>10.427954237288137</v>
      </c>
      <c r="D62" s="26">
        <v>10.25327118644068</v>
      </c>
      <c r="E62" s="26">
        <v>13.150976220338981</v>
      </c>
      <c r="F62" s="26">
        <v>13.150976220338981</v>
      </c>
      <c r="G62" s="26">
        <v>10.530891279661018</v>
      </c>
      <c r="H62" s="26">
        <v>10.530891279661018</v>
      </c>
      <c r="I62" s="26">
        <v>13.777766197457625</v>
      </c>
      <c r="J62" s="26">
        <v>13.078809450847457</v>
      </c>
      <c r="M62" s="26">
        <v>10.2555</v>
      </c>
    </row>
    <row r="63" spans="1:13" x14ac:dyDescent="0.2">
      <c r="A63">
        <v>60</v>
      </c>
      <c r="B63" s="26">
        <v>11.413733333333333</v>
      </c>
      <c r="C63" s="26">
        <v>10.419666666666668</v>
      </c>
      <c r="D63" s="26">
        <v>10.237833333333333</v>
      </c>
      <c r="E63" s="26">
        <v>13.127813333333334</v>
      </c>
      <c r="F63" s="26">
        <v>13.127813333333334</v>
      </c>
      <c r="G63" s="26">
        <v>10.472963333333334</v>
      </c>
      <c r="H63" s="26">
        <v>10.472963333333334</v>
      </c>
      <c r="I63" s="26">
        <v>13.653018999999999</v>
      </c>
      <c r="J63" s="26">
        <v>13.037175999999999</v>
      </c>
      <c r="M63" s="26">
        <v>10.243500000000001</v>
      </c>
    </row>
    <row r="64" spans="1:13" x14ac:dyDescent="0.2">
      <c r="A64">
        <v>61</v>
      </c>
      <c r="B64" s="26">
        <v>11.404685081967212</v>
      </c>
      <c r="C64" s="26">
        <v>10.411824590163937</v>
      </c>
      <c r="D64" s="26">
        <v>10.22332786885246</v>
      </c>
      <c r="E64" s="26">
        <v>13.106019622950818</v>
      </c>
      <c r="F64" s="26">
        <v>13.106019622950818</v>
      </c>
      <c r="G64" s="26">
        <v>10.417316483606559</v>
      </c>
      <c r="H64" s="26">
        <v>10.417316483606559</v>
      </c>
      <c r="I64" s="26">
        <v>13.532601338524589</v>
      </c>
      <c r="J64" s="26">
        <v>12.998017403278688</v>
      </c>
      <c r="M64" s="26">
        <v>10.232368852459018</v>
      </c>
    </row>
    <row r="65" spans="1:13" x14ac:dyDescent="0.2">
      <c r="A65">
        <v>62</v>
      </c>
      <c r="B65" s="26">
        <v>11.396025161290321</v>
      </c>
      <c r="C65" s="26">
        <v>10.404406451612903</v>
      </c>
      <c r="D65" s="26">
        <v>10.209709677419355</v>
      </c>
      <c r="E65" s="26">
        <v>13.085528838709676</v>
      </c>
      <c r="F65" s="26">
        <v>13.085528838709676</v>
      </c>
      <c r="G65" s="26">
        <v>10.363840354838711</v>
      </c>
      <c r="H65" s="26">
        <v>10.363840354838711</v>
      </c>
      <c r="I65" s="26">
        <v>13.41630371935484</v>
      </c>
      <c r="J65" s="26">
        <v>12.96121390967742</v>
      </c>
      <c r="M65" s="26">
        <v>10.222064516129032</v>
      </c>
    </row>
    <row r="66" spans="1:13" x14ac:dyDescent="0.2">
      <c r="A66">
        <v>63</v>
      </c>
      <c r="B66" s="26">
        <v>11.387735079365077</v>
      </c>
      <c r="C66" s="26">
        <v>10.397392063492065</v>
      </c>
      <c r="D66" s="26">
        <v>10.196936507936508</v>
      </c>
      <c r="E66" s="26">
        <v>13.066278936507937</v>
      </c>
      <c r="F66" s="26">
        <v>13.066278936507937</v>
      </c>
      <c r="G66" s="26">
        <v>10.31243157936508</v>
      </c>
      <c r="H66" s="26">
        <v>10.31243157936508</v>
      </c>
      <c r="I66" s="26">
        <v>13.303929950000001</v>
      </c>
      <c r="J66" s="26">
        <v>12.92665337142857</v>
      </c>
      <c r="M66" s="26">
        <v>10.212547619047619</v>
      </c>
    </row>
    <row r="67" spans="1:13" x14ac:dyDescent="0.2">
      <c r="A67">
        <v>64</v>
      </c>
      <c r="B67" s="26">
        <v>11.379797499999999</v>
      </c>
      <c r="C67" s="26">
        <v>10.390762500000001</v>
      </c>
      <c r="D67" s="26">
        <v>10.184968750000001</v>
      </c>
      <c r="E67" s="26">
        <v>13.04821175</v>
      </c>
      <c r="F67" s="26">
        <v>13.04821175</v>
      </c>
      <c r="G67" s="26">
        <v>10.262993250000001</v>
      </c>
      <c r="H67" s="26">
        <v>10.262993250000001</v>
      </c>
      <c r="I67" s="26">
        <v>13.1952961</v>
      </c>
      <c r="J67" s="26">
        <v>12.894230649999999</v>
      </c>
      <c r="M67" s="26">
        <v>10.20378125</v>
      </c>
    </row>
    <row r="68" spans="1:13" x14ac:dyDescent="0.2">
      <c r="A68">
        <v>65</v>
      </c>
      <c r="B68" s="26">
        <v>11.372196153846152</v>
      </c>
      <c r="C68" s="26">
        <v>10.384500000000001</v>
      </c>
      <c r="D68" s="26">
        <v>10.17376923076923</v>
      </c>
      <c r="E68" s="26">
        <v>13.031272692307693</v>
      </c>
      <c r="F68" s="26">
        <v>13.031272692307693</v>
      </c>
      <c r="G68" s="26">
        <v>10.215434423076925</v>
      </c>
      <c r="H68" s="26">
        <v>10.215434423076925</v>
      </c>
      <c r="I68" s="26">
        <v>13.090229557692309</v>
      </c>
      <c r="J68" s="26">
        <v>12.863847076923076</v>
      </c>
      <c r="M68" s="26">
        <v>10.195730769230771</v>
      </c>
    </row>
    <row r="69" spans="1:13" x14ac:dyDescent="0.2">
      <c r="A69">
        <v>66</v>
      </c>
      <c r="B69" s="26">
        <v>11.364915757575757</v>
      </c>
      <c r="C69" s="26">
        <v>10.378587878787881</v>
      </c>
      <c r="D69" s="26">
        <v>10.16330303030303</v>
      </c>
      <c r="E69" s="26">
        <v>13.015410484848486</v>
      </c>
      <c r="F69" s="26">
        <v>13.015410484848486</v>
      </c>
      <c r="G69" s="26">
        <v>10.169669666666667</v>
      </c>
      <c r="H69" s="26">
        <v>10.169669666666667</v>
      </c>
      <c r="I69" s="26">
        <v>12.988568172727271</v>
      </c>
      <c r="J69" s="26">
        <v>12.835409963636362</v>
      </c>
      <c r="M69" s="26">
        <v>10.188363636363636</v>
      </c>
    </row>
    <row r="70" spans="1:13" x14ac:dyDescent="0.2">
      <c r="A70">
        <v>67</v>
      </c>
      <c r="B70" s="26">
        <v>11.357941940298506</v>
      </c>
      <c r="C70" s="26">
        <v>10.373010447761194</v>
      </c>
      <c r="D70" s="26">
        <v>10.153537313432835</v>
      </c>
      <c r="E70" s="26">
        <v>13.000576910447762</v>
      </c>
      <c r="F70" s="26">
        <v>13.000576910447762</v>
      </c>
      <c r="G70" s="26">
        <v>10.125618649253731</v>
      </c>
      <c r="H70" s="26">
        <v>10.125618649253731</v>
      </c>
      <c r="I70" s="26">
        <v>12.890159475373132</v>
      </c>
      <c r="J70" s="26">
        <v>12.808832155223881</v>
      </c>
      <c r="M70" s="26">
        <v>10.181649253731342</v>
      </c>
    </row>
    <row r="71" spans="1:13" x14ac:dyDescent="0.2">
      <c r="A71">
        <v>68</v>
      </c>
      <c r="B71" s="26">
        <v>11.351261176470587</v>
      </c>
      <c r="C71" s="26">
        <v>10.367752941176473</v>
      </c>
      <c r="D71" s="26">
        <v>10.144441176470586</v>
      </c>
      <c r="E71" s="26">
        <v>12.986726588235294</v>
      </c>
      <c r="F71" s="26">
        <v>12.986726588235294</v>
      </c>
      <c r="G71" s="26">
        <v>10.083205764705882</v>
      </c>
      <c r="H71" s="26">
        <v>10.083205764705882</v>
      </c>
      <c r="I71" s="26">
        <v>12.79485996470588</v>
      </c>
      <c r="J71" s="26">
        <v>12.784031623529412</v>
      </c>
      <c r="M71" s="26">
        <v>10.175558823529411</v>
      </c>
    </row>
    <row r="72" spans="1:13" x14ac:dyDescent="0.2">
      <c r="A72">
        <v>69</v>
      </c>
      <c r="B72" s="26">
        <v>11.34486072463768</v>
      </c>
      <c r="C72" s="26">
        <v>10.362801449275363</v>
      </c>
      <c r="D72" s="26">
        <v>10.135985507246378</v>
      </c>
      <c r="G72" s="26">
        <v>10.042359789855073</v>
      </c>
      <c r="H72" s="26">
        <v>10.042359789855073</v>
      </c>
      <c r="I72" s="26">
        <v>12.702534458695652</v>
      </c>
      <c r="M72" s="26">
        <v>10.170065217391304</v>
      </c>
    </row>
    <row r="73" spans="1:13" x14ac:dyDescent="0.2">
      <c r="A73">
        <v>70</v>
      </c>
      <c r="B73" s="26">
        <v>11.33872857142857</v>
      </c>
      <c r="C73" s="26">
        <v>10.358142857142857</v>
      </c>
      <c r="D73" s="26">
        <v>10.128142857142857</v>
      </c>
      <c r="G73" s="26">
        <v>10.003013571428571</v>
      </c>
      <c r="H73" s="26">
        <v>10.003013571428571</v>
      </c>
      <c r="I73" s="26">
        <v>12.6130555</v>
      </c>
      <c r="M73" s="26">
        <v>10.165142857142856</v>
      </c>
    </row>
    <row r="74" spans="1:13" x14ac:dyDescent="0.2">
      <c r="A74">
        <v>71</v>
      </c>
      <c r="B74" s="26">
        <v>11.332853380281689</v>
      </c>
      <c r="C74" s="26">
        <v>10.353764788732397</v>
      </c>
      <c r="D74" s="26">
        <v>10.120887323943661</v>
      </c>
      <c r="G74" s="26">
        <v>9.9651037394366195</v>
      </c>
      <c r="H74" s="26">
        <v>9.9651037394366195</v>
      </c>
      <c r="I74" s="26">
        <v>12.526302811971831</v>
      </c>
      <c r="M74" s="26">
        <v>10.160767605633803</v>
      </c>
    </row>
    <row r="75" spans="1:13" x14ac:dyDescent="0.2">
      <c r="A75">
        <v>72</v>
      </c>
      <c r="B75" s="26">
        <v>11.327224444444445</v>
      </c>
      <c r="C75" s="26">
        <v>10.349655555555556</v>
      </c>
      <c r="D75" s="26">
        <v>10.114194444444443</v>
      </c>
      <c r="G75" s="26">
        <v>9.9285704444444445</v>
      </c>
      <c r="H75" s="26">
        <v>9.9285704444444445</v>
      </c>
      <c r="I75" s="26">
        <v>12.4421628</v>
      </c>
      <c r="M75" s="26">
        <v>10.156916666666666</v>
      </c>
    </row>
    <row r="76" spans="1:13" x14ac:dyDescent="0.2">
      <c r="A76">
        <v>73</v>
      </c>
      <c r="B76" s="26">
        <v>11.321831643835615</v>
      </c>
      <c r="C76" s="26">
        <v>10.345804109589043</v>
      </c>
      <c r="D76" s="26">
        <v>10.108041095890412</v>
      </c>
      <c r="G76" s="26">
        <v>9.8933571164383558</v>
      </c>
      <c r="H76" s="26">
        <v>9.8933571164383558</v>
      </c>
      <c r="I76" s="26">
        <v>12.360528093835617</v>
      </c>
      <c r="M76" s="26">
        <v>10.153568493150685</v>
      </c>
    </row>
    <row r="77" spans="1:13" x14ac:dyDescent="0.2">
      <c r="A77">
        <v>74</v>
      </c>
      <c r="B77" s="26">
        <v>11.316665405405406</v>
      </c>
      <c r="C77" s="26">
        <v>10.3422</v>
      </c>
      <c r="D77" s="26">
        <v>10.102405405405404</v>
      </c>
      <c r="G77" s="26">
        <v>9.8594102432432429</v>
      </c>
      <c r="H77" s="26">
        <v>9.8594102432432429</v>
      </c>
      <c r="I77" s="26">
        <v>12.281297127027026</v>
      </c>
      <c r="M77" s="26">
        <v>10.150702702702704</v>
      </c>
    </row>
    <row r="78" spans="1:13" x14ac:dyDescent="0.2">
      <c r="A78">
        <v>75</v>
      </c>
      <c r="B78" s="26">
        <v>11.311716666666666</v>
      </c>
      <c r="C78" s="26">
        <v>10.338833333333334</v>
      </c>
      <c r="D78" s="26">
        <v>10.097266666666666</v>
      </c>
      <c r="G78" s="26">
        <v>9.8266791666666666</v>
      </c>
      <c r="H78" s="26">
        <v>9.8266791666666666</v>
      </c>
      <c r="I78" s="26">
        <v>12.204373749999998</v>
      </c>
      <c r="M78" s="26">
        <v>10.148299999999999</v>
      </c>
    </row>
    <row r="79" spans="1:13" x14ac:dyDescent="0.2">
      <c r="A79">
        <v>76</v>
      </c>
      <c r="B79" s="26">
        <v>11.306976842105263</v>
      </c>
      <c r="C79" s="26">
        <v>10.335694736842106</v>
      </c>
      <c r="D79" s="26">
        <v>10.092605263157893</v>
      </c>
      <c r="G79" s="26">
        <v>9.795115894736842</v>
      </c>
      <c r="H79" s="26">
        <v>9.795115894736842</v>
      </c>
      <c r="I79" s="26">
        <v>12.12966687368421</v>
      </c>
      <c r="M79" s="26">
        <v>10.146342105263155</v>
      </c>
    </row>
    <row r="80" spans="1:13" x14ac:dyDescent="0.2">
      <c r="A80">
        <v>77</v>
      </c>
      <c r="B80" s="26">
        <v>11.302437792207792</v>
      </c>
      <c r="C80" s="26">
        <v>10.332775324675326</v>
      </c>
      <c r="D80" s="26">
        <v>10.088402597402597</v>
      </c>
      <c r="G80" s="26">
        <v>9.7646749285714289</v>
      </c>
      <c r="H80" s="26">
        <v>9.7646749285714289</v>
      </c>
      <c r="I80" s="26">
        <v>12.057090140909091</v>
      </c>
      <c r="M80" s="26">
        <v>10.144811688311689</v>
      </c>
    </row>
    <row r="81" spans="1:13" x14ac:dyDescent="0.2">
      <c r="A81">
        <v>78</v>
      </c>
      <c r="B81" s="26">
        <v>11.298091794871794</v>
      </c>
      <c r="C81" s="26">
        <v>10.330066666666667</v>
      </c>
      <c r="D81" s="26">
        <v>10.084641025641025</v>
      </c>
      <c r="G81" s="26">
        <v>9.7353131025641026</v>
      </c>
      <c r="H81" s="26">
        <v>9.7353131025641026</v>
      </c>
      <c r="I81" s="26">
        <v>11.986561623076922</v>
      </c>
      <c r="M81" s="26">
        <v>10.143692307692307</v>
      </c>
    </row>
    <row r="82" spans="1:13" x14ac:dyDescent="0.2">
      <c r="A82">
        <v>79</v>
      </c>
      <c r="B82" s="26">
        <v>11.293931518987341</v>
      </c>
      <c r="C82" s="26">
        <v>10.327560759493672</v>
      </c>
      <c r="D82" s="26">
        <v>10.081303797468355</v>
      </c>
      <c r="G82" s="26">
        <v>9.7069894367088594</v>
      </c>
      <c r="H82" s="26">
        <v>9.7069894367088594</v>
      </c>
      <c r="I82" s="26">
        <v>11.918003539873418</v>
      </c>
      <c r="M82" s="26">
        <v>10.14296835443038</v>
      </c>
    </row>
    <row r="83" spans="1:13" x14ac:dyDescent="0.2">
      <c r="A83">
        <v>80</v>
      </c>
      <c r="B83" s="26">
        <v>11.289949999999999</v>
      </c>
      <c r="C83" s="26">
        <v>10.32525</v>
      </c>
      <c r="D83" s="26">
        <v>10.078374999999999</v>
      </c>
      <c r="G83" s="26">
        <v>9.679665</v>
      </c>
      <c r="H83" s="26">
        <v>9.679665</v>
      </c>
      <c r="I83" s="26">
        <v>11.851342000000001</v>
      </c>
      <c r="M83" s="26">
        <v>10.142624999999999</v>
      </c>
    </row>
    <row r="84" spans="1:13" x14ac:dyDescent="0.2">
      <c r="A84">
        <v>81</v>
      </c>
      <c r="B84" s="26">
        <v>11.28614061728395</v>
      </c>
      <c r="C84" s="26">
        <v>10.323127160493828</v>
      </c>
      <c r="D84" s="26">
        <v>10.075839506172841</v>
      </c>
      <c r="G84" s="26">
        <v>9.6533027839506182</v>
      </c>
      <c r="H84" s="26">
        <v>9.6533027839506182</v>
      </c>
      <c r="I84" s="26">
        <v>11.786506761111111</v>
      </c>
      <c r="M84" s="26">
        <v>10.142648148148149</v>
      </c>
    </row>
    <row r="85" spans="1:13" x14ac:dyDescent="0.2">
      <c r="A85">
        <v>82</v>
      </c>
      <c r="B85" s="26">
        <v>11.282497073170731</v>
      </c>
      <c r="C85" s="26">
        <v>10.321185365853658</v>
      </c>
      <c r="D85" s="26">
        <v>10.073682926829269</v>
      </c>
      <c r="G85" s="26">
        <v>9.6278675853658537</v>
      </c>
      <c r="H85" s="26">
        <v>9.6278675853658537</v>
      </c>
      <c r="I85" s="26">
        <v>11.723431007317073</v>
      </c>
      <c r="M85" s="26">
        <v>10.143024390243903</v>
      </c>
    </row>
    <row r="86" spans="1:13" x14ac:dyDescent="0.2">
      <c r="A86">
        <v>83</v>
      </c>
      <c r="D86" s="26">
        <v>10.071891566265061</v>
      </c>
      <c r="G86" s="26">
        <v>9.603325897590361</v>
      </c>
      <c r="H86" s="26">
        <v>9.603325897590361</v>
      </c>
      <c r="I86" s="26">
        <v>11.662051142771082</v>
      </c>
      <c r="M86" s="26">
        <v>10.143740963855421</v>
      </c>
    </row>
    <row r="87" spans="1:13" x14ac:dyDescent="0.2">
      <c r="A87">
        <v>84</v>
      </c>
      <c r="D87" s="26">
        <v>10.07045238095238</v>
      </c>
      <c r="G87" s="26">
        <v>9.5796458095238108</v>
      </c>
      <c r="H87" s="26">
        <v>9.5796458095238108</v>
      </c>
      <c r="I87" s="26">
        <v>11.6023066</v>
      </c>
      <c r="M87" s="26">
        <v>10.144785714285714</v>
      </c>
    </row>
    <row r="88" spans="1:13" x14ac:dyDescent="0.2">
      <c r="A88">
        <v>85</v>
      </c>
      <c r="D88" s="26">
        <v>10.06935294117647</v>
      </c>
      <c r="G88" s="26">
        <v>9.5567969117647067</v>
      </c>
      <c r="H88" s="26">
        <v>9.5567969117647067</v>
      </c>
      <c r="I88" s="26">
        <v>11.544139661764705</v>
      </c>
      <c r="M88" s="26">
        <v>10.14614705882353</v>
      </c>
    </row>
    <row r="89" spans="1:13" x14ac:dyDescent="0.2">
      <c r="A89">
        <v>86</v>
      </c>
      <c r="D89" s="26">
        <v>10.068581395348838</v>
      </c>
      <c r="G89" s="26">
        <v>9.5347502093023273</v>
      </c>
      <c r="H89" s="26">
        <v>9.5347502093023273</v>
      </c>
      <c r="I89" s="26">
        <v>11.487495295348836</v>
      </c>
      <c r="M89" s="26">
        <v>10.147813953488372</v>
      </c>
    </row>
    <row r="90" spans="1:13" x14ac:dyDescent="0.2">
      <c r="A90">
        <v>87</v>
      </c>
      <c r="D90" s="26">
        <v>10.068126436781608</v>
      </c>
      <c r="G90" s="26">
        <v>9.5134780402298862</v>
      </c>
      <c r="H90" s="26">
        <v>9.5134780402298862</v>
      </c>
      <c r="I90" s="26">
        <v>11.432320998275863</v>
      </c>
      <c r="M90" s="26">
        <v>10.149775862068966</v>
      </c>
    </row>
    <row r="91" spans="1:13" x14ac:dyDescent="0.2">
      <c r="A91">
        <v>88</v>
      </c>
      <c r="D91" s="26">
        <v>10.067977272727273</v>
      </c>
      <c r="G91" s="26">
        <v>9.4929539999999992</v>
      </c>
      <c r="H91" s="26">
        <v>9.4929539999999992</v>
      </c>
      <c r="I91" s="26">
        <v>11.378566654545454</v>
      </c>
      <c r="M91" s="26">
        <v>10.152022727272726</v>
      </c>
    </row>
    <row r="92" spans="1:13" x14ac:dyDescent="0.2">
      <c r="A92">
        <v>89</v>
      </c>
      <c r="D92" s="26">
        <v>10.068123595505618</v>
      </c>
      <c r="G92" s="26">
        <v>9.4731528707865174</v>
      </c>
      <c r="H92" s="26">
        <v>9.4731528707865174</v>
      </c>
      <c r="I92" s="26">
        <v>11.326184400561798</v>
      </c>
      <c r="M92" s="26">
        <v>10.154544943820223</v>
      </c>
    </row>
    <row r="93" spans="1:13" x14ac:dyDescent="0.2">
      <c r="A93">
        <v>90</v>
      </c>
      <c r="D93" s="26">
        <v>10.068555555555555</v>
      </c>
      <c r="G93" s="26">
        <v>9.4540505555555558</v>
      </c>
      <c r="H93" s="26">
        <v>9.4540505555555558</v>
      </c>
      <c r="I93" s="26">
        <v>11.275128500000001</v>
      </c>
      <c r="M93" s="26">
        <v>10.157333333333334</v>
      </c>
    </row>
    <row r="94" spans="1:13" x14ac:dyDescent="0.2">
      <c r="A94">
        <v>91</v>
      </c>
      <c r="D94" s="26">
        <v>10.069263736263736</v>
      </c>
      <c r="G94" s="26">
        <v>9.4356240164835175</v>
      </c>
      <c r="H94" s="26">
        <v>9.4356240164835175</v>
      </c>
      <c r="I94" s="26">
        <v>11.225355226923076</v>
      </c>
      <c r="M94" s="26">
        <v>10.160379120879121</v>
      </c>
    </row>
    <row r="95" spans="1:13" x14ac:dyDescent="0.2">
      <c r="A95">
        <v>92</v>
      </c>
      <c r="D95" s="26">
        <v>10.070239130434782</v>
      </c>
      <c r="G95" s="26">
        <v>9.4178512173913038</v>
      </c>
      <c r="H95" s="26">
        <v>9.4178512173913038</v>
      </c>
      <c r="I95" s="26">
        <v>11.176822756521737</v>
      </c>
      <c r="M95" s="26">
        <v>10.163673913043478</v>
      </c>
    </row>
    <row r="96" spans="1:13" x14ac:dyDescent="0.2">
      <c r="A96">
        <v>93</v>
      </c>
      <c r="D96" s="26">
        <v>10.07147311827957</v>
      </c>
      <c r="G96" s="26">
        <v>9.4007110698924734</v>
      </c>
      <c r="H96" s="26">
        <v>9.4007110698924734</v>
      </c>
      <c r="I96" s="26">
        <v>11.129491062903226</v>
      </c>
      <c r="M96" s="26">
        <v>10.167209677419352</v>
      </c>
    </row>
    <row r="97" spans="1:13" x14ac:dyDescent="0.2">
      <c r="A97">
        <v>94</v>
      </c>
      <c r="D97" s="26">
        <v>10.072957446808511</v>
      </c>
      <c r="G97" s="26">
        <v>9.3841833829787245</v>
      </c>
      <c r="H97" s="26">
        <v>9.3841833829787245</v>
      </c>
      <c r="I97" s="26">
        <v>11.083321823404255</v>
      </c>
      <c r="M97" s="26">
        <v>10.170978723404257</v>
      </c>
    </row>
    <row r="98" spans="1:13" x14ac:dyDescent="0.2">
      <c r="A98">
        <v>95</v>
      </c>
      <c r="D98" s="26">
        <v>10.074684210526316</v>
      </c>
      <c r="G98" s="26">
        <v>9.3682488157894728</v>
      </c>
      <c r="H98" s="26">
        <v>9.3682488157894728</v>
      </c>
      <c r="I98" s="26">
        <v>11.038278328947367</v>
      </c>
      <c r="M98" s="26">
        <v>10.174973684210526</v>
      </c>
    </row>
    <row r="99" spans="1:13" x14ac:dyDescent="0.2">
      <c r="A99">
        <v>96</v>
      </c>
      <c r="D99" s="26">
        <v>10.076645833333332</v>
      </c>
      <c r="G99" s="26">
        <v>9.3528888333333331</v>
      </c>
      <c r="H99" s="26">
        <v>9.3528888333333331</v>
      </c>
      <c r="I99" s="26">
        <v>10.994325400000001</v>
      </c>
      <c r="M99" s="26">
        <v>10.179187499999999</v>
      </c>
    </row>
    <row r="100" spans="1:13" x14ac:dyDescent="0.2">
      <c r="A100">
        <v>97</v>
      </c>
      <c r="D100" s="26">
        <v>10.078835051546392</v>
      </c>
      <c r="G100" s="26">
        <v>9.3380856649484549</v>
      </c>
      <c r="H100" s="26">
        <v>9.3380856649484549</v>
      </c>
      <c r="I100" s="26">
        <v>10.95142930773196</v>
      </c>
      <c r="M100" s="26">
        <v>10.183613402061853</v>
      </c>
    </row>
    <row r="101" spans="1:13" x14ac:dyDescent="0.2">
      <c r="A101">
        <v>98</v>
      </c>
      <c r="D101" s="26">
        <v>10.081244897959184</v>
      </c>
      <c r="G101" s="26">
        <v>9.3238222653061236</v>
      </c>
      <c r="H101" s="26">
        <v>9.3238222653061236</v>
      </c>
      <c r="I101" s="26">
        <v>10.909557700000002</v>
      </c>
      <c r="M101" s="26">
        <v>10.188244897959185</v>
      </c>
    </row>
    <row r="102" spans="1:13" x14ac:dyDescent="0.2">
      <c r="A102">
        <v>99</v>
      </c>
      <c r="D102" s="26">
        <v>10.083868686868687</v>
      </c>
      <c r="G102" s="26">
        <v>9.3100822777777772</v>
      </c>
      <c r="H102" s="26">
        <v>9.3100822777777772</v>
      </c>
      <c r="I102" s="26">
        <v>10.868679531818181</v>
      </c>
      <c r="M102" s="26">
        <v>10.193075757575757</v>
      </c>
    </row>
    <row r="103" spans="1:13" x14ac:dyDescent="0.2">
      <c r="A103">
        <v>100</v>
      </c>
      <c r="D103" s="26">
        <v>10.0867</v>
      </c>
      <c r="G103" s="26">
        <v>9.2968500000000009</v>
      </c>
      <c r="H103" s="26">
        <v>9.2968500000000009</v>
      </c>
      <c r="I103" s="26">
        <v>10.828764999999999</v>
      </c>
      <c r="M103" s="26">
        <v>10.1981</v>
      </c>
    </row>
    <row r="104" spans="1:13" x14ac:dyDescent="0.2">
      <c r="A104">
        <v>101</v>
      </c>
      <c r="D104" s="26">
        <v>10.089732673267326</v>
      </c>
      <c r="G104" s="26">
        <v>9.2841103514851486</v>
      </c>
      <c r="H104" s="26">
        <v>9.2841103514851486</v>
      </c>
      <c r="I104" s="26">
        <v>10.789785481683168</v>
      </c>
      <c r="M104" s="26">
        <v>10.203311881188119</v>
      </c>
    </row>
    <row r="105" spans="1:13" x14ac:dyDescent="0.2">
      <c r="A105">
        <v>102</v>
      </c>
      <c r="D105" s="26">
        <v>10.092960784313725</v>
      </c>
      <c r="G105" s="26">
        <v>9.2718488431372545</v>
      </c>
      <c r="H105" s="26">
        <v>9.2718488431372545</v>
      </c>
      <c r="I105" s="26">
        <v>10.75171347647059</v>
      </c>
      <c r="M105" s="26">
        <v>10.208705882352941</v>
      </c>
    </row>
    <row r="106" spans="1:13" x14ac:dyDescent="0.2">
      <c r="A106">
        <v>103</v>
      </c>
      <c r="D106" s="26">
        <v>10.096378640776699</v>
      </c>
      <c r="G106" s="26">
        <v>9.2600515485436894</v>
      </c>
      <c r="H106" s="26">
        <v>9.2600515485436894</v>
      </c>
      <c r="I106" s="26">
        <v>10.714522551941748</v>
      </c>
      <c r="M106" s="26">
        <v>10.214276699029126</v>
      </c>
    </row>
    <row r="107" spans="1:13" x14ac:dyDescent="0.2">
      <c r="A107">
        <v>104</v>
      </c>
      <c r="G107" s="26">
        <v>9.248705076923077</v>
      </c>
      <c r="H107" s="26">
        <v>9.248705076923077</v>
      </c>
      <c r="I107" s="26">
        <v>10.678187292307692</v>
      </c>
      <c r="M107" s="26">
        <v>10.220019230769232</v>
      </c>
    </row>
    <row r="108" spans="1:13" x14ac:dyDescent="0.2">
      <c r="A108">
        <v>105</v>
      </c>
      <c r="G108" s="26">
        <v>9.2377965476190482</v>
      </c>
      <c r="H108" s="26">
        <v>9.2377965476190482</v>
      </c>
      <c r="I108" s="26">
        <v>10.642683250000001</v>
      </c>
      <c r="M108" s="26">
        <v>10.22592857142857</v>
      </c>
    </row>
    <row r="109" spans="1:13" x14ac:dyDescent="0.2">
      <c r="A109">
        <v>106</v>
      </c>
      <c r="G109" s="26">
        <v>9.2273135660377363</v>
      </c>
      <c r="H109" s="26">
        <v>9.2273135660377363</v>
      </c>
      <c r="I109" s="26">
        <v>10.607986900000002</v>
      </c>
      <c r="M109" s="26">
        <v>10.232000000000001</v>
      </c>
    </row>
    <row r="110" spans="1:13" x14ac:dyDescent="0.2">
      <c r="A110">
        <v>107</v>
      </c>
      <c r="G110" s="26">
        <v>9.2172442009345783</v>
      </c>
      <c r="H110" s="26">
        <v>9.2172442009345783</v>
      </c>
      <c r="I110" s="26">
        <v>10.574075596728971</v>
      </c>
      <c r="M110" s="26">
        <v>10.238228971962618</v>
      </c>
    </row>
    <row r="111" spans="1:13" x14ac:dyDescent="0.2">
      <c r="A111">
        <v>108</v>
      </c>
      <c r="G111" s="26">
        <v>9.2075769629629622</v>
      </c>
      <c r="H111" s="26">
        <v>9.2075769629629622</v>
      </c>
      <c r="I111" s="26">
        <v>10.540927533333333</v>
      </c>
      <c r="M111" s="26">
        <v>10.24461111111111</v>
      </c>
    </row>
    <row r="112" spans="1:13" x14ac:dyDescent="0.2">
      <c r="A112">
        <v>109</v>
      </c>
      <c r="I112" s="26">
        <v>10.508521703211009</v>
      </c>
      <c r="M112" s="26">
        <v>10.251142201834861</v>
      </c>
    </row>
    <row r="113" spans="1:13" x14ac:dyDescent="0.2">
      <c r="A113">
        <v>110</v>
      </c>
      <c r="I113" s="26">
        <v>10.476837863636362</v>
      </c>
      <c r="M113" s="26">
        <v>10.25781818181818</v>
      </c>
    </row>
    <row r="114" spans="1:13" x14ac:dyDescent="0.2">
      <c r="A114">
        <v>111</v>
      </c>
      <c r="I114" s="26">
        <v>10.445856501351352</v>
      </c>
      <c r="M114" s="26">
        <v>10.264635135135137</v>
      </c>
    </row>
    <row r="115" spans="1:13" x14ac:dyDescent="0.2">
      <c r="A115">
        <v>112</v>
      </c>
      <c r="I115" s="26">
        <v>10.415558799999999</v>
      </c>
      <c r="M115" s="26">
        <v>10.271589285714285</v>
      </c>
    </row>
    <row r="116" spans="1:13" x14ac:dyDescent="0.2">
      <c r="A116">
        <v>113</v>
      </c>
      <c r="I116" s="26">
        <v>10.385926609292037</v>
      </c>
      <c r="M116" s="26">
        <v>10.278676991150441</v>
      </c>
    </row>
    <row r="117" spans="1:13" x14ac:dyDescent="0.2">
      <c r="A117">
        <v>114</v>
      </c>
      <c r="I117" s="26">
        <v>10.356942415789474</v>
      </c>
      <c r="M117" s="26">
        <v>10.285894736842105</v>
      </c>
    </row>
    <row r="118" spans="1:13" x14ac:dyDescent="0.2">
      <c r="A118">
        <v>115</v>
      </c>
      <c r="I118" s="26">
        <v>10.328589315217391</v>
      </c>
      <c r="M118" s="26">
        <v>10.293239130434783</v>
      </c>
    </row>
    <row r="119" spans="1:13" x14ac:dyDescent="0.2">
      <c r="A119">
        <v>116</v>
      </c>
      <c r="I119" s="26">
        <v>10.300850986206896</v>
      </c>
      <c r="M119" s="26">
        <v>10.300706896551725</v>
      </c>
    </row>
    <row r="120" spans="1:13" x14ac:dyDescent="0.2">
      <c r="A120">
        <v>117</v>
      </c>
      <c r="I120" s="26">
        <v>10.273711665384615</v>
      </c>
      <c r="M120" s="26">
        <v>10.308294871794871</v>
      </c>
    </row>
    <row r="121" spans="1:13" x14ac:dyDescent="0.2">
      <c r="A121">
        <v>118</v>
      </c>
      <c r="I121" s="26">
        <v>10.247156123728814</v>
      </c>
      <c r="M121" s="26">
        <v>10.315999999999999</v>
      </c>
    </row>
    <row r="122" spans="1:13" x14ac:dyDescent="0.2">
      <c r="A122">
        <v>119</v>
      </c>
      <c r="I122" s="26">
        <v>10.221169644117648</v>
      </c>
      <c r="M122" s="26">
        <v>10.323819327731092</v>
      </c>
    </row>
    <row r="123" spans="1:13" x14ac:dyDescent="0.2">
      <c r="A123">
        <v>120</v>
      </c>
      <c r="I123" s="26">
        <v>10.195738</v>
      </c>
      <c r="M123" s="26">
        <v>10.33175</v>
      </c>
    </row>
    <row r="124" spans="1:13" x14ac:dyDescent="0.2">
      <c r="A124">
        <v>121</v>
      </c>
      <c r="I124" s="26">
        <v>10.170847435123967</v>
      </c>
      <c r="M124" s="26">
        <v>10.339789256198346</v>
      </c>
    </row>
    <row r="125" spans="1:13" x14ac:dyDescent="0.2">
      <c r="A125">
        <v>122</v>
      </c>
      <c r="I125" s="26">
        <v>10.146484644262296</v>
      </c>
      <c r="M125" s="26">
        <v>10.347934426229507</v>
      </c>
    </row>
    <row r="126" spans="1:13" x14ac:dyDescent="0.2">
      <c r="A126">
        <v>123</v>
      </c>
      <c r="I126" s="26">
        <v>10.122636754878048</v>
      </c>
      <c r="M126" s="26">
        <v>10.356182926829268</v>
      </c>
    </row>
    <row r="127" spans="1:13" x14ac:dyDescent="0.2">
      <c r="A127">
        <v>124</v>
      </c>
      <c r="I127" s="26">
        <v>10.099291309677419</v>
      </c>
      <c r="M127" s="26">
        <v>10.364532258064516</v>
      </c>
    </row>
    <row r="128" spans="1:13" x14ac:dyDescent="0.2">
      <c r="A128">
        <v>125</v>
      </c>
      <c r="I128" s="26">
        <v>10.076436249999999</v>
      </c>
      <c r="M128" s="26">
        <v>10.37298</v>
      </c>
    </row>
    <row r="129" spans="1:13" x14ac:dyDescent="0.2">
      <c r="A129">
        <v>126</v>
      </c>
      <c r="I129" s="26">
        <v>10.054059899999999</v>
      </c>
      <c r="M129" s="26">
        <v>10.381523809523809</v>
      </c>
    </row>
    <row r="130" spans="1:13" x14ac:dyDescent="0.2">
      <c r="A130">
        <v>127</v>
      </c>
      <c r="I130" s="26">
        <v>10.032150951574803</v>
      </c>
      <c r="M130" s="26">
        <v>10.390161417322835</v>
      </c>
    </row>
    <row r="131" spans="1:13" x14ac:dyDescent="0.2">
      <c r="A131">
        <v>128</v>
      </c>
      <c r="I131" s="26">
        <v>10.01069845</v>
      </c>
      <c r="M131" s="26">
        <v>10.398890625</v>
      </c>
    </row>
    <row r="132" spans="1:13" x14ac:dyDescent="0.2">
      <c r="A132">
        <v>129</v>
      </c>
      <c r="I132" s="26">
        <v>9.9896917802325582</v>
      </c>
      <c r="M132" s="26">
        <v>10.40770930232558</v>
      </c>
    </row>
    <row r="133" spans="1:13" x14ac:dyDescent="0.2">
      <c r="A133">
        <v>130</v>
      </c>
      <c r="I133" s="26">
        <v>9.9691206538461543</v>
      </c>
      <c r="M133" s="26">
        <v>10.416615384615383</v>
      </c>
    </row>
    <row r="134" spans="1:13" x14ac:dyDescent="0.2">
      <c r="A134">
        <v>131</v>
      </c>
      <c r="I134" s="26">
        <v>9.9489750965648849</v>
      </c>
      <c r="M134" s="26">
        <v>10.425606870229005</v>
      </c>
    </row>
    <row r="135" spans="1:13" x14ac:dyDescent="0.2">
      <c r="A135">
        <v>132</v>
      </c>
      <c r="I135" s="26">
        <v>9.9292454363636349</v>
      </c>
      <c r="M135" s="26">
        <v>10.434681818181815</v>
      </c>
    </row>
    <row r="136" spans="1:13" x14ac:dyDescent="0.2">
      <c r="A136">
        <v>133</v>
      </c>
      <c r="I136" s="26">
        <v>9.9099222921052625</v>
      </c>
      <c r="M136" s="26">
        <v>10.443838345864661</v>
      </c>
    </row>
    <row r="137" spans="1:13" x14ac:dyDescent="0.2">
      <c r="A137">
        <v>134</v>
      </c>
      <c r="I137" s="26">
        <v>9.890996562686567</v>
      </c>
      <c r="M137" s="26">
        <v>10.453074626865671</v>
      </c>
    </row>
    <row r="138" spans="1:13" x14ac:dyDescent="0.2">
      <c r="A138">
        <v>135</v>
      </c>
      <c r="I138" s="26">
        <v>9.8724594166666666</v>
      </c>
      <c r="M138" s="26">
        <v>10.462388888888889</v>
      </c>
    </row>
    <row r="139" spans="1:13" x14ac:dyDescent="0.2">
      <c r="A139">
        <v>136</v>
      </c>
      <c r="I139" s="26">
        <v>9.8543022823529416</v>
      </c>
      <c r="M139" s="26">
        <v>10.471779411764704</v>
      </c>
    </row>
    <row r="140" spans="1:13" x14ac:dyDescent="0.2">
      <c r="A140">
        <v>137</v>
      </c>
      <c r="I140" s="26">
        <v>9.8365168383211685</v>
      </c>
      <c r="M140" s="26">
        <v>10.481244525547444</v>
      </c>
    </row>
    <row r="141" spans="1:13" x14ac:dyDescent="0.2">
      <c r="A141">
        <v>138</v>
      </c>
      <c r="I141" s="26">
        <v>9.819095004347826</v>
      </c>
      <c r="M141" s="26">
        <v>10.490782608695653</v>
      </c>
    </row>
    <row r="142" spans="1:13" x14ac:dyDescent="0.2">
      <c r="A142">
        <v>139</v>
      </c>
      <c r="I142" s="26">
        <v>9.8020289327338119</v>
      </c>
      <c r="M142" s="26">
        <v>10.500392086330935</v>
      </c>
    </row>
    <row r="143" spans="1:13" x14ac:dyDescent="0.2">
      <c r="A143">
        <v>140</v>
      </c>
      <c r="I143" s="26">
        <v>9.7853110000000001</v>
      </c>
      <c r="M143" s="26">
        <v>10.510071428571427</v>
      </c>
    </row>
    <row r="144" spans="1:13" x14ac:dyDescent="0.2">
      <c r="A144">
        <v>141</v>
      </c>
      <c r="I144" s="26">
        <v>9.7689337989361693</v>
      </c>
      <c r="M144" s="26">
        <v>10.51981914893617</v>
      </c>
    </row>
    <row r="145" spans="1:13" x14ac:dyDescent="0.2">
      <c r="A145">
        <v>142</v>
      </c>
      <c r="I145" s="26">
        <v>9.7528901309859162</v>
      </c>
      <c r="M145" s="26">
        <v>10.529633802816901</v>
      </c>
    </row>
    <row r="146" spans="1:13" x14ac:dyDescent="0.2">
      <c r="A146">
        <v>143</v>
      </c>
      <c r="I146" s="26">
        <v>9.7371729989510492</v>
      </c>
      <c r="M146" s="26">
        <v>10.539513986013986</v>
      </c>
    </row>
    <row r="147" spans="1:13" x14ac:dyDescent="0.2">
      <c r="A147">
        <v>144</v>
      </c>
      <c r="I147" s="26">
        <v>9.7217756000000008</v>
      </c>
      <c r="M147" s="26">
        <v>10.549458333333332</v>
      </c>
    </row>
    <row r="148" spans="1:13" x14ac:dyDescent="0.2">
      <c r="A148">
        <v>145</v>
      </c>
      <c r="I148" s="26">
        <v>9.7066913189655182</v>
      </c>
      <c r="M148" s="26">
        <v>10.559465517241378</v>
      </c>
    </row>
    <row r="149" spans="1:13" x14ac:dyDescent="0.2">
      <c r="A149">
        <v>146</v>
      </c>
      <c r="I149" s="26">
        <v>9.6919137219178086</v>
      </c>
      <c r="M149" s="26">
        <v>10.569534246575342</v>
      </c>
    </row>
    <row r="150" spans="1:13" x14ac:dyDescent="0.2">
      <c r="A150">
        <v>147</v>
      </c>
      <c r="I150" s="26">
        <v>9.6774365499999995</v>
      </c>
      <c r="M150" s="26">
        <v>10.579663265306122</v>
      </c>
    </row>
    <row r="151" spans="1:13" x14ac:dyDescent="0.2">
      <c r="A151">
        <v>148</v>
      </c>
      <c r="I151" s="26">
        <v>9.6632537135135124</v>
      </c>
      <c r="M151" s="26">
        <v>10.589851351351349</v>
      </c>
    </row>
    <row r="152" spans="1:13" x14ac:dyDescent="0.2">
      <c r="A152">
        <v>149</v>
      </c>
      <c r="I152" s="26">
        <v>9.6493592862416104</v>
      </c>
      <c r="M152" s="26">
        <v>10.600097315436242</v>
      </c>
    </row>
    <row r="153" spans="1:13" x14ac:dyDescent="0.2">
      <c r="A153">
        <v>150</v>
      </c>
      <c r="I153" s="26">
        <v>9.635747499999999</v>
      </c>
      <c r="M153" s="26">
        <v>10.6104</v>
      </c>
    </row>
    <row r="154" spans="1:13" x14ac:dyDescent="0.2">
      <c r="A154">
        <v>151</v>
      </c>
      <c r="I154" s="26">
        <v>9.6224127394039733</v>
      </c>
    </row>
    <row r="155" spans="1:13" x14ac:dyDescent="0.2">
      <c r="A155">
        <v>152</v>
      </c>
      <c r="I155" s="26">
        <v>9.6093495368421067</v>
      </c>
    </row>
    <row r="156" spans="1:13" x14ac:dyDescent="0.2">
      <c r="A156">
        <v>153</v>
      </c>
      <c r="I156" s="26">
        <v>9.5965525676470591</v>
      </c>
    </row>
    <row r="157" spans="1:13" x14ac:dyDescent="0.2">
      <c r="A157">
        <v>154</v>
      </c>
      <c r="I157" s="26">
        <v>9.584016645454545</v>
      </c>
    </row>
    <row r="158" spans="1:13" x14ac:dyDescent="0.2">
      <c r="A158">
        <v>155</v>
      </c>
      <c r="I158" s="26">
        <v>9.5717367177419348</v>
      </c>
    </row>
    <row r="159" spans="1:13" x14ac:dyDescent="0.2">
      <c r="A159">
        <v>156</v>
      </c>
      <c r="I159" s="26">
        <v>9.5597078615384614</v>
      </c>
    </row>
    <row r="160" spans="1:13" x14ac:dyDescent="0.2">
      <c r="A160">
        <v>157</v>
      </c>
      <c r="I160" s="26">
        <v>9.5479252792993634</v>
      </c>
    </row>
    <row r="161" spans="1:9" x14ac:dyDescent="0.2">
      <c r="A161">
        <v>158</v>
      </c>
      <c r="I161" s="26">
        <v>9.5363842949367079</v>
      </c>
    </row>
    <row r="162" spans="1:9" x14ac:dyDescent="0.2">
      <c r="A162">
        <v>159</v>
      </c>
      <c r="I162" s="26">
        <v>9.5250803499999996</v>
      </c>
    </row>
    <row r="163" spans="1:9" x14ac:dyDescent="0.2">
      <c r="A163">
        <v>160</v>
      </c>
      <c r="I163" s="26">
        <v>9.5140089999999997</v>
      </c>
    </row>
    <row r="164" spans="1:9" x14ac:dyDescent="0.2">
      <c r="A164">
        <v>161</v>
      </c>
      <c r="I164" s="26">
        <v>9.5031659108695656</v>
      </c>
    </row>
    <row r="165" spans="1:9" x14ac:dyDescent="0.2">
      <c r="A165">
        <v>162</v>
      </c>
      <c r="I165" s="26">
        <v>9.4925468555555561</v>
      </c>
    </row>
    <row r="166" spans="1:9" x14ac:dyDescent="0.2">
      <c r="A166">
        <v>163</v>
      </c>
      <c r="I166" s="26">
        <v>9.4821477107361947</v>
      </c>
    </row>
    <row r="167" spans="1:9" x14ac:dyDescent="0.2">
      <c r="A167">
        <v>164</v>
      </c>
      <c r="I167" s="26">
        <v>9.4719644536585363</v>
      </c>
    </row>
    <row r="168" spans="1:9" x14ac:dyDescent="0.2">
      <c r="A168">
        <v>165</v>
      </c>
      <c r="I168" s="26">
        <v>9.461993159090909</v>
      </c>
    </row>
    <row r="169" spans="1:9" x14ac:dyDescent="0.2">
      <c r="A169">
        <v>166</v>
      </c>
      <c r="I169" s="26">
        <v>9.4522299963855421</v>
      </c>
    </row>
    <row r="170" spans="1:9" x14ac:dyDescent="0.2">
      <c r="A170">
        <v>167</v>
      </c>
      <c r="I170" s="26">
        <v>9.4426712266467074</v>
      </c>
    </row>
    <row r="171" spans="1:9" x14ac:dyDescent="0.2">
      <c r="A171">
        <v>168</v>
      </c>
      <c r="I171" s="26">
        <v>9.4333132000000006</v>
      </c>
    </row>
    <row r="172" spans="1:9" x14ac:dyDescent="0.2">
      <c r="A172">
        <v>169</v>
      </c>
      <c r="I172" s="26">
        <v>9.4241523529585809</v>
      </c>
    </row>
    <row r="173" spans="1:9" x14ac:dyDescent="0.2">
      <c r="A173">
        <v>170</v>
      </c>
      <c r="I173" s="26">
        <v>9.415185205882354</v>
      </c>
    </row>
    <row r="174" spans="1:9" x14ac:dyDescent="0.2">
      <c r="A174">
        <v>171</v>
      </c>
      <c r="I174" s="26">
        <v>9.4064083605263153</v>
      </c>
    </row>
    <row r="175" spans="1:9" x14ac:dyDescent="0.2">
      <c r="A175">
        <v>172</v>
      </c>
      <c r="I175" s="26">
        <v>9.3978184976744181</v>
      </c>
    </row>
    <row r="176" spans="1:9" x14ac:dyDescent="0.2">
      <c r="A176">
        <v>173</v>
      </c>
      <c r="I176" s="26">
        <v>9.3894123748554907</v>
      </c>
    </row>
    <row r="177" spans="1:9" x14ac:dyDescent="0.2">
      <c r="A177">
        <v>174</v>
      </c>
      <c r="I177" s="26">
        <v>9.3811868241379308</v>
      </c>
    </row>
    <row r="178" spans="1:9" x14ac:dyDescent="0.2">
      <c r="A178">
        <v>175</v>
      </c>
      <c r="I178" s="26">
        <v>9.373138749999999</v>
      </c>
    </row>
    <row r="179" spans="1:9" x14ac:dyDescent="0.2">
      <c r="A179">
        <v>176</v>
      </c>
      <c r="I179" s="26">
        <v>9.3652651272727283</v>
      </c>
    </row>
    <row r="180" spans="1:9" x14ac:dyDescent="0.2">
      <c r="A180">
        <v>177</v>
      </c>
      <c r="I180" s="26">
        <v>9.3575629991525435</v>
      </c>
    </row>
    <row r="181" spans="1:9" x14ac:dyDescent="0.2">
      <c r="A181">
        <v>178</v>
      </c>
      <c r="I181" s="26">
        <v>9.3500294752809001</v>
      </c>
    </row>
    <row r="182" spans="1:9" x14ac:dyDescent="0.2">
      <c r="A182">
        <v>179</v>
      </c>
      <c r="I182" s="26">
        <v>9.3426617298882668</v>
      </c>
    </row>
    <row r="183" spans="1:9" x14ac:dyDescent="0.2">
      <c r="A183">
        <v>180</v>
      </c>
      <c r="I183" s="26">
        <v>9.3354569999999999</v>
      </c>
    </row>
    <row r="184" spans="1:9" x14ac:dyDescent="0.2">
      <c r="A184">
        <v>181</v>
      </c>
      <c r="I184" s="26">
        <v>9.3284125837016578</v>
      </c>
    </row>
    <row r="185" spans="1:9" x14ac:dyDescent="0.2">
      <c r="A185">
        <v>182</v>
      </c>
      <c r="I185" s="26">
        <v>9.3215258384615378</v>
      </c>
    </row>
    <row r="186" spans="1:9" x14ac:dyDescent="0.2">
      <c r="A186">
        <v>183</v>
      </c>
      <c r="I186" s="26">
        <v>9.3147941795081959</v>
      </c>
    </row>
    <row r="187" spans="1:9" x14ac:dyDescent="0.2">
      <c r="A187">
        <v>184</v>
      </c>
      <c r="I187" s="26">
        <v>9.3082150782608704</v>
      </c>
    </row>
    <row r="188" spans="1:9" x14ac:dyDescent="0.2">
      <c r="A188">
        <v>185</v>
      </c>
      <c r="I188" s="26">
        <v>9.3017860608108105</v>
      </c>
    </row>
    <row r="189" spans="1:9" x14ac:dyDescent="0.2">
      <c r="A189">
        <v>186</v>
      </c>
      <c r="I189" s="26">
        <v>9.295504706451613</v>
      </c>
    </row>
    <row r="190" spans="1:9" x14ac:dyDescent="0.2">
      <c r="A190">
        <v>187</v>
      </c>
      <c r="I190" s="26">
        <v>9.2893686462566833</v>
      </c>
    </row>
    <row r="191" spans="1:9" x14ac:dyDescent="0.2">
      <c r="A191">
        <v>188</v>
      </c>
      <c r="I191" s="26">
        <v>9.2833755617021261</v>
      </c>
    </row>
    <row r="192" spans="1:9" x14ac:dyDescent="0.2">
      <c r="A192">
        <v>189</v>
      </c>
      <c r="I192" s="26">
        <v>9.2775231833333329</v>
      </c>
    </row>
    <row r="193" spans="1:9" x14ac:dyDescent="0.2">
      <c r="A193">
        <v>190</v>
      </c>
      <c r="I193" s="26">
        <v>9.2718092894736852</v>
      </c>
    </row>
    <row r="194" spans="1:9" x14ac:dyDescent="0.2">
      <c r="A194">
        <v>191</v>
      </c>
      <c r="I194" s="26">
        <v>9.2662317049738228</v>
      </c>
    </row>
    <row r="195" spans="1:9" x14ac:dyDescent="0.2">
      <c r="A195">
        <v>192</v>
      </c>
      <c r="I195" s="26">
        <v>9.2607882999999998</v>
      </c>
    </row>
    <row r="196" spans="1:9" x14ac:dyDescent="0.2">
      <c r="A196">
        <v>193</v>
      </c>
      <c r="I196" s="26">
        <v>9.2554769888601029</v>
      </c>
    </row>
    <row r="197" spans="1:9" x14ac:dyDescent="0.2">
      <c r="A197">
        <v>194</v>
      </c>
      <c r="I197" s="26">
        <v>9.2502957288659804</v>
      </c>
    </row>
    <row r="198" spans="1:9" x14ac:dyDescent="0.2">
      <c r="A198">
        <v>195</v>
      </c>
      <c r="I198" s="26">
        <v>9.2452425192307697</v>
      </c>
    </row>
    <row r="199" spans="1:9" x14ac:dyDescent="0.2">
      <c r="A199">
        <v>196</v>
      </c>
      <c r="I199" s="26">
        <v>9.2403154000000001</v>
      </c>
    </row>
    <row r="200" spans="1:9" x14ac:dyDescent="0.2">
      <c r="A200">
        <v>197</v>
      </c>
      <c r="I200" s="26">
        <v>9.2355124510152287</v>
      </c>
    </row>
    <row r="201" spans="1:9" x14ac:dyDescent="0.2">
      <c r="A201">
        <v>198</v>
      </c>
      <c r="I201" s="26">
        <v>9.2308317909090913</v>
      </c>
    </row>
    <row r="202" spans="1:9" x14ac:dyDescent="0.2">
      <c r="A202">
        <v>199</v>
      </c>
      <c r="I202" s="26">
        <v>9.2262715761306531</v>
      </c>
    </row>
    <row r="203" spans="1:9" x14ac:dyDescent="0.2">
      <c r="A203">
        <v>200</v>
      </c>
      <c r="I203" s="26">
        <v>9.2218300000000006</v>
      </c>
    </row>
    <row r="204" spans="1:9" x14ac:dyDescent="0.2">
      <c r="I204" s="26">
        <v>9.2175052917910456</v>
      </c>
    </row>
    <row r="205" spans="1:9" x14ac:dyDescent="0.2">
      <c r="I205" s="26">
        <v>9.2132957158415838</v>
      </c>
    </row>
    <row r="206" spans="1:9" x14ac:dyDescent="0.2">
      <c r="I206" s="26">
        <v>9.2091995706896554</v>
      </c>
    </row>
    <row r="207" spans="1:9" x14ac:dyDescent="0.2">
      <c r="I207" s="26">
        <v>9.2052151882352931</v>
      </c>
    </row>
    <row r="208" spans="1:9" x14ac:dyDescent="0.2">
      <c r="I208" s="26">
        <v>9.2013409329268292</v>
      </c>
    </row>
    <row r="209" spans="9:9" x14ac:dyDescent="0.2">
      <c r="I209" s="26">
        <v>9.1975752009708742</v>
      </c>
    </row>
    <row r="210" spans="9:9" x14ac:dyDescent="0.2">
      <c r="I210" s="26">
        <v>9.1939164195652179</v>
      </c>
    </row>
    <row r="211" spans="9:9" x14ac:dyDescent="0.2">
      <c r="I211" s="26">
        <v>9.1903630461538466</v>
      </c>
    </row>
    <row r="212" spans="9:9" x14ac:dyDescent="0.2">
      <c r="I212" s="26">
        <v>9.1869135677033498</v>
      </c>
    </row>
    <row r="213" spans="9:9" x14ac:dyDescent="0.2">
      <c r="I213" s="26">
        <v>9.1835664999999995</v>
      </c>
    </row>
    <row r="214" spans="9:9" x14ac:dyDescent="0.2">
      <c r="I214" s="26">
        <v>9.1803203869668248</v>
      </c>
    </row>
    <row r="215" spans="9:9" x14ac:dyDescent="0.2">
      <c r="I215" s="26">
        <v>9.1771738000000003</v>
      </c>
    </row>
    <row r="216" spans="9:9" x14ac:dyDescent="0.2">
      <c r="I216" s="26">
        <v>9.1741253373239431</v>
      </c>
    </row>
    <row r="217" spans="9:9" x14ac:dyDescent="0.2">
      <c r="I217" s="26">
        <v>9.1711736233644849</v>
      </c>
    </row>
    <row r="218" spans="9:9" x14ac:dyDescent="0.2">
      <c r="I218" s="26">
        <v>9.1683173081395353</v>
      </c>
    </row>
  </sheetData>
  <sheetProtection sheet="1" objects="1" scenarios="1"/>
  <phoneticPr fontId="9" type="noConversion"/>
  <pageMargins left="0.75" right="0.75" top="1" bottom="1" header="0.5" footer="0.5"/>
  <headerFooter alignWithMargins="0">
    <oddHeader>&amp;A</oddHeader>
    <oddFooter>Page &amp;P</oddFooter>
  </headerFooter>
</worksheet>
</file>

<file path=docMetadata/LabelInfo.xml><?xml version="1.0" encoding="utf-8"?>
<clbl:labelList xmlns:clbl="http://schemas.microsoft.com/office/2020/mipLabelMetadata">
  <clbl:label id="{87ba5c36-b7cf-4793-bbc2-bd5b3a9f95ca}" enabled="1" method="Privileged" siteId="{72f988bf-86f1-41af-91ab-2d7cd011db4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Dialogs</vt:lpstr>
      </vt:variant>
      <vt:variant>
        <vt:i4>1</vt:i4>
      </vt:variant>
      <vt:variant>
        <vt:lpstr>Named Ranges</vt:lpstr>
      </vt:variant>
      <vt:variant>
        <vt:i4>21</vt:i4>
      </vt:variant>
    </vt:vector>
  </HeadingPairs>
  <TitlesOfParts>
    <vt:vector size="33" baseType="lpstr">
      <vt:lpstr>Preschedule</vt:lpstr>
      <vt:lpstr>Deals</vt:lpstr>
      <vt:lpstr>Fuel</vt:lpstr>
      <vt:lpstr>Economics</vt:lpstr>
      <vt:lpstr>Balancing</vt:lpstr>
      <vt:lpstr>spin reserve log sheet</vt:lpstr>
      <vt:lpstr>Unit Summary</vt:lpstr>
      <vt:lpstr>HeatRate</vt:lpstr>
      <vt:lpstr>Top</vt:lpstr>
      <vt:lpstr>EPEData</vt:lpstr>
      <vt:lpstr>Sheet1</vt:lpstr>
      <vt:lpstr>dlgAddRows</vt:lpstr>
      <vt:lpstr>CBalancingVol</vt:lpstr>
      <vt:lpstr>CISOBegDate</vt:lpstr>
      <vt:lpstr>CISOEndDate</vt:lpstr>
      <vt:lpstr>DataAll</vt:lpstr>
      <vt:lpstr>Dformulas</vt:lpstr>
      <vt:lpstr>DFormulaTitles</vt:lpstr>
      <vt:lpstr>DPrice</vt:lpstr>
      <vt:lpstr>Top!EndDt</vt:lpstr>
      <vt:lpstr>EndofDPoint</vt:lpstr>
      <vt:lpstr>EndofDType</vt:lpstr>
      <vt:lpstr>Fuel!FuelNames</vt:lpstr>
      <vt:lpstr>FuelNames</vt:lpstr>
      <vt:lpstr>Fuel!FuelPriceTable</vt:lpstr>
      <vt:lpstr>FuelPriceTable</vt:lpstr>
      <vt:lpstr>HeatRateNames</vt:lpstr>
      <vt:lpstr>HeatRateStart</vt:lpstr>
      <vt:lpstr>Balancing!Print_Area</vt:lpstr>
      <vt:lpstr>Deals!Print_Area</vt:lpstr>
      <vt:lpstr>PVBalancingVol</vt:lpstr>
      <vt:lpstr>SPSBalancingVol</vt:lpstr>
      <vt:lpstr>StartDt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Haoyu Dong</dc:creator>
  <dc:description>- Oracle 8i ODBC QueryFix Applied</dc:description>
  <cp:lastModifiedBy>Haoyu Dong</cp:lastModifiedBy>
  <cp:lastPrinted>2001-05-15T07:17:30Z</cp:lastPrinted>
  <dcterms:created xsi:type="dcterms:W3CDTF">1998-02-07T06:53:21Z</dcterms:created>
  <dcterms:modified xsi:type="dcterms:W3CDTF">2025-11-16T23:58:38Z</dcterms:modified>
</cp:coreProperties>
</file>